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mc:AlternateContent xmlns:mc="http://schemas.openxmlformats.org/markup-compatibility/2006">
    <mc:Choice Requires="x15">
      <x15ac:absPath xmlns:x15ac="http://schemas.microsoft.com/office/spreadsheetml/2010/11/ac" url="/Users/monikanemcova/Desktop/"/>
    </mc:Choice>
  </mc:AlternateContent>
  <xr:revisionPtr revIDLastSave="0" documentId="13_ncr:1_{6F473BE7-8636-3E4D-989D-8A35853BD19C}" xr6:coauthVersionLast="47" xr6:coauthVersionMax="47" xr10:uidLastSave="{00000000-0000-0000-0000-000000000000}"/>
  <bookViews>
    <workbookView xWindow="0" yWindow="760" windowWidth="29400" windowHeight="16560" xr2:uid="{00000000-000D-0000-FFFF-FFFF00000000}"/>
  </bookViews>
  <sheets>
    <sheet name="About AIHR" sheetId="8" r:id="rId1"/>
    <sheet name="Instructions" sheetId="1" r:id="rId2"/>
    <sheet name="Headcount Dashboard" sheetId="2" r:id="rId3"/>
    <sheet name="Tracking Sheet" sheetId="3" r:id="rId4"/>
    <sheet name="Demographic Descriptions" sheetId="4" r:id="rId5"/>
    <sheet name="Calculations" sheetId="5" state="hidden" r:id="rId6"/>
  </sheets>
  <externalReferences>
    <externalReference r:id="rId7"/>
  </externalReferences>
  <definedNames>
    <definedName name="_xlnm._FilterDatabase" localSheetId="3" hidden="1">'Tracking Sheet'!$A$4:$AY$504</definedName>
    <definedName name="Milestone_Marker">[1]Purple!$C$6</definedName>
    <definedName name="Project_Start">[1]Purple!$C$5</definedName>
    <definedName name="Scrolling_Increment">[1]Purple!$U$5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9" roundtripDataSignature="AMtx7mgIkHOQA9J/CG2TzeOkAx6HJT78gg=="/>
    </ext>
  </extLst>
</workbook>
</file>

<file path=xl/calcChain.xml><?xml version="1.0" encoding="utf-8"?>
<calcChain xmlns="http://schemas.openxmlformats.org/spreadsheetml/2006/main">
  <c r="L5" i="3" l="1"/>
  <c r="L6" i="3"/>
  <c r="L491" i="3"/>
  <c r="L494" i="3"/>
  <c r="AJ5" i="3"/>
  <c r="AX5" i="3"/>
  <c r="AY5" i="3"/>
  <c r="AJ6" i="3"/>
  <c r="AX6" i="3"/>
  <c r="AY6" i="3"/>
  <c r="L7" i="3"/>
  <c r="AJ7" i="3"/>
  <c r="AX7" i="3"/>
  <c r="AY7" i="3"/>
  <c r="L8" i="3"/>
  <c r="AJ8" i="3"/>
  <c r="AX8" i="3"/>
  <c r="AY8" i="3"/>
  <c r="L9" i="3"/>
  <c r="AJ9" i="3"/>
  <c r="AX9" i="3"/>
  <c r="AY9" i="3"/>
  <c r="L10" i="3"/>
  <c r="AJ10" i="3"/>
  <c r="AX10" i="3"/>
  <c r="AY10" i="3"/>
  <c r="L11" i="3"/>
  <c r="AJ11" i="3"/>
  <c r="AX11" i="3"/>
  <c r="AY11" i="3"/>
  <c r="L12" i="3"/>
  <c r="AJ12" i="3"/>
  <c r="AX12" i="3"/>
  <c r="AY12" i="3"/>
  <c r="L13" i="3"/>
  <c r="AJ13" i="3"/>
  <c r="AX13" i="3"/>
  <c r="AY13" i="3"/>
  <c r="L14" i="3"/>
  <c r="AJ14" i="3"/>
  <c r="AX14" i="3"/>
  <c r="AY14" i="3"/>
  <c r="L15" i="3"/>
  <c r="AJ15" i="3"/>
  <c r="AX15" i="3"/>
  <c r="AY15" i="3"/>
  <c r="L16" i="3"/>
  <c r="AJ16" i="3"/>
  <c r="AX16" i="3"/>
  <c r="AY16" i="3"/>
  <c r="L17" i="3"/>
  <c r="AJ17" i="3"/>
  <c r="AX17" i="3"/>
  <c r="AY17" i="3"/>
  <c r="L18" i="3"/>
  <c r="AJ18" i="3"/>
  <c r="AX18" i="3"/>
  <c r="AY18" i="3"/>
  <c r="L19" i="3"/>
  <c r="AJ19" i="3"/>
  <c r="AX19" i="3"/>
  <c r="AY19" i="3"/>
  <c r="L20" i="3"/>
  <c r="AJ20" i="3"/>
  <c r="AX20" i="3"/>
  <c r="AY20" i="3"/>
  <c r="L21" i="3"/>
  <c r="AJ21" i="3"/>
  <c r="AX21" i="3"/>
  <c r="AY21" i="3"/>
  <c r="L22" i="3"/>
  <c r="AJ22" i="3"/>
  <c r="AX22" i="3"/>
  <c r="AY22" i="3"/>
  <c r="L23" i="3"/>
  <c r="AJ23" i="3"/>
  <c r="AX23" i="3"/>
  <c r="AY23" i="3"/>
  <c r="L24" i="3"/>
  <c r="AJ24" i="3"/>
  <c r="AX24" i="3"/>
  <c r="AY24" i="3"/>
  <c r="L25" i="3"/>
  <c r="AJ25" i="3"/>
  <c r="AX25" i="3"/>
  <c r="AY25" i="3"/>
  <c r="L26" i="3"/>
  <c r="AJ26" i="3"/>
  <c r="AX26" i="3"/>
  <c r="AY26" i="3"/>
  <c r="L27" i="3"/>
  <c r="AJ27" i="3"/>
  <c r="AX27" i="3"/>
  <c r="AY27" i="3"/>
  <c r="L28" i="3"/>
  <c r="AJ28" i="3"/>
  <c r="AX28" i="3"/>
  <c r="AY28" i="3"/>
  <c r="L29" i="3"/>
  <c r="AJ29" i="3"/>
  <c r="AX29" i="3"/>
  <c r="AY29" i="3"/>
  <c r="L30" i="3"/>
  <c r="AJ30" i="3"/>
  <c r="AX30" i="3"/>
  <c r="AY30" i="3"/>
  <c r="L31" i="3"/>
  <c r="AJ31" i="3"/>
  <c r="AX31" i="3"/>
  <c r="AY31" i="3"/>
  <c r="L32" i="3"/>
  <c r="AJ32" i="3"/>
  <c r="AX32" i="3"/>
  <c r="AY32" i="3"/>
  <c r="L33" i="3"/>
  <c r="AJ33" i="3"/>
  <c r="AX33" i="3"/>
  <c r="AY33" i="3"/>
  <c r="L34" i="3"/>
  <c r="AJ34" i="3"/>
  <c r="AX34" i="3"/>
  <c r="AY34" i="3"/>
  <c r="L35" i="3"/>
  <c r="AJ35" i="3"/>
  <c r="AX35" i="3"/>
  <c r="AY35" i="3"/>
  <c r="L36" i="3"/>
  <c r="AJ36" i="3"/>
  <c r="AX36" i="3"/>
  <c r="AY36" i="3"/>
  <c r="L37" i="3"/>
  <c r="AJ37" i="3"/>
  <c r="AX37" i="3"/>
  <c r="AY37" i="3"/>
  <c r="L38" i="3"/>
  <c r="AJ38" i="3"/>
  <c r="AX38" i="3"/>
  <c r="AY38" i="3"/>
  <c r="L39" i="3"/>
  <c r="AJ39" i="3"/>
  <c r="AX39" i="3"/>
  <c r="AY39" i="3"/>
  <c r="L40" i="3"/>
  <c r="AJ40" i="3"/>
  <c r="AX40" i="3"/>
  <c r="AY40" i="3"/>
  <c r="L41" i="3"/>
  <c r="AJ41" i="3"/>
  <c r="AX41" i="3"/>
  <c r="AY41" i="3"/>
  <c r="L42" i="3"/>
  <c r="AJ42" i="3"/>
  <c r="AX42" i="3"/>
  <c r="AY42" i="3"/>
  <c r="L43" i="3"/>
  <c r="AJ43" i="3"/>
  <c r="AX43" i="3"/>
  <c r="AY43" i="3"/>
  <c r="L44" i="3"/>
  <c r="AJ44" i="3"/>
  <c r="AX44" i="3"/>
  <c r="AY44" i="3"/>
  <c r="L45" i="3"/>
  <c r="AJ45" i="3"/>
  <c r="AX45" i="3"/>
  <c r="AY45" i="3"/>
  <c r="L46" i="3"/>
  <c r="AJ46" i="3"/>
  <c r="AX46" i="3"/>
  <c r="AY46" i="3"/>
  <c r="L47" i="3"/>
  <c r="AJ47" i="3"/>
  <c r="AX47" i="3"/>
  <c r="AY47" i="3"/>
  <c r="L48" i="3"/>
  <c r="AJ48" i="3"/>
  <c r="AX48" i="3"/>
  <c r="AY48" i="3"/>
  <c r="L49" i="3"/>
  <c r="AJ49" i="3"/>
  <c r="AX49" i="3"/>
  <c r="AY49" i="3"/>
  <c r="L50" i="3"/>
  <c r="AJ50" i="3"/>
  <c r="AX50" i="3"/>
  <c r="AY50" i="3"/>
  <c r="L51" i="3"/>
  <c r="AJ51" i="3"/>
  <c r="AX51" i="3"/>
  <c r="AY51" i="3"/>
  <c r="L52" i="3"/>
  <c r="AJ52" i="3"/>
  <c r="AX52" i="3"/>
  <c r="AY52" i="3"/>
  <c r="L53" i="3"/>
  <c r="AJ53" i="3"/>
  <c r="AX53" i="3"/>
  <c r="AY53" i="3"/>
  <c r="L54" i="3"/>
  <c r="AJ54" i="3"/>
  <c r="AX54" i="3"/>
  <c r="AY54" i="3"/>
  <c r="L55" i="3"/>
  <c r="AJ55" i="3"/>
  <c r="AX55" i="3"/>
  <c r="AY55" i="3"/>
  <c r="L56" i="3"/>
  <c r="AJ56" i="3"/>
  <c r="AX56" i="3"/>
  <c r="AY56" i="3"/>
  <c r="L57" i="3"/>
  <c r="AJ57" i="3"/>
  <c r="AX57" i="3"/>
  <c r="AY57" i="3"/>
  <c r="L58" i="3"/>
  <c r="AJ58" i="3"/>
  <c r="AX58" i="3"/>
  <c r="AY58" i="3"/>
  <c r="L59" i="3"/>
  <c r="AJ59" i="3"/>
  <c r="AX59" i="3"/>
  <c r="AY59" i="3"/>
  <c r="L60" i="3"/>
  <c r="AJ60" i="3"/>
  <c r="AX60" i="3"/>
  <c r="AY60" i="3"/>
  <c r="L61" i="3"/>
  <c r="AJ61" i="3"/>
  <c r="AX61" i="3"/>
  <c r="AY61" i="3"/>
  <c r="L62" i="3"/>
  <c r="AJ62" i="3"/>
  <c r="AX62" i="3"/>
  <c r="AY62" i="3"/>
  <c r="L63" i="3"/>
  <c r="AJ63" i="3"/>
  <c r="AX63" i="3"/>
  <c r="AY63" i="3"/>
  <c r="L64" i="3"/>
  <c r="AJ64" i="3"/>
  <c r="AX64" i="3"/>
  <c r="AY64" i="3"/>
  <c r="L65" i="3"/>
  <c r="AJ65" i="3"/>
  <c r="AX65" i="3"/>
  <c r="AY65" i="3"/>
  <c r="L66" i="3"/>
  <c r="AJ66" i="3"/>
  <c r="AX66" i="3"/>
  <c r="AY66" i="3"/>
  <c r="L67" i="3"/>
  <c r="AJ67" i="3"/>
  <c r="AX67" i="3"/>
  <c r="AY67" i="3"/>
  <c r="L68" i="3"/>
  <c r="AJ68" i="3"/>
  <c r="AX68" i="3"/>
  <c r="AY68" i="3"/>
  <c r="L69" i="3"/>
  <c r="AJ69" i="3"/>
  <c r="AX69" i="3"/>
  <c r="AY69" i="3"/>
  <c r="L70" i="3"/>
  <c r="AJ70" i="3"/>
  <c r="AX70" i="3"/>
  <c r="AY70" i="3"/>
  <c r="L71" i="3"/>
  <c r="AJ71" i="3"/>
  <c r="AX71" i="3"/>
  <c r="AY71" i="3"/>
  <c r="L72" i="3"/>
  <c r="AJ72" i="3"/>
  <c r="AX72" i="3"/>
  <c r="AY72" i="3"/>
  <c r="L73" i="3"/>
  <c r="AJ73" i="3"/>
  <c r="AX73" i="3"/>
  <c r="AY73" i="3"/>
  <c r="L74" i="3"/>
  <c r="AJ74" i="3"/>
  <c r="AX74" i="3"/>
  <c r="AY74" i="3"/>
  <c r="L75" i="3"/>
  <c r="AJ75" i="3"/>
  <c r="AX75" i="3"/>
  <c r="AY75" i="3"/>
  <c r="L76" i="3"/>
  <c r="AJ76" i="3"/>
  <c r="AX76" i="3"/>
  <c r="AY76" i="3"/>
  <c r="L77" i="3"/>
  <c r="AJ77" i="3"/>
  <c r="AX77" i="3"/>
  <c r="AY77" i="3"/>
  <c r="L78" i="3"/>
  <c r="AJ78" i="3"/>
  <c r="AX78" i="3"/>
  <c r="AY78" i="3"/>
  <c r="AJ79" i="3" l="1"/>
  <c r="AJ80" i="3"/>
  <c r="AJ81" i="3"/>
  <c r="AJ82" i="3"/>
  <c r="AJ83" i="3"/>
  <c r="AJ84" i="3"/>
  <c r="AJ85" i="3"/>
  <c r="AJ86" i="3"/>
  <c r="AJ87" i="3"/>
  <c r="AJ88" i="3"/>
  <c r="AJ89" i="3"/>
  <c r="AJ90" i="3"/>
  <c r="AJ91" i="3"/>
  <c r="AJ92" i="3"/>
  <c r="AJ93" i="3"/>
  <c r="AJ94" i="3"/>
  <c r="AJ95" i="3"/>
  <c r="AJ96" i="3"/>
  <c r="AJ97" i="3"/>
  <c r="AJ98" i="3"/>
  <c r="AJ99" i="3"/>
  <c r="AJ100" i="3"/>
  <c r="AJ101" i="3"/>
  <c r="AJ102" i="3"/>
  <c r="AJ103" i="3"/>
  <c r="AJ104" i="3"/>
  <c r="AJ105" i="3"/>
  <c r="AJ106" i="3"/>
  <c r="AJ107" i="3"/>
  <c r="AJ108" i="3"/>
  <c r="AJ109" i="3"/>
  <c r="AJ110" i="3"/>
  <c r="AJ111" i="3"/>
  <c r="AJ112" i="3"/>
  <c r="AJ113" i="3"/>
  <c r="AJ114" i="3"/>
  <c r="AJ115" i="3"/>
  <c r="AJ116" i="3"/>
  <c r="AJ117" i="3"/>
  <c r="AJ118" i="3"/>
  <c r="AJ119" i="3"/>
  <c r="AJ120" i="3"/>
  <c r="AJ121" i="3"/>
  <c r="AJ122" i="3"/>
  <c r="AJ123" i="3"/>
  <c r="AJ124" i="3"/>
  <c r="AJ125" i="3"/>
  <c r="AJ126" i="3"/>
  <c r="AJ127" i="3"/>
  <c r="AJ128" i="3"/>
  <c r="AJ129" i="3"/>
  <c r="AJ130" i="3"/>
  <c r="AJ131" i="3"/>
  <c r="AJ132" i="3"/>
  <c r="AJ133" i="3"/>
  <c r="AJ134" i="3"/>
  <c r="AJ135" i="3"/>
  <c r="AJ136" i="3"/>
  <c r="AJ137" i="3"/>
  <c r="AJ138" i="3"/>
  <c r="AJ139" i="3"/>
  <c r="AJ140" i="3"/>
  <c r="AJ141" i="3"/>
  <c r="AJ142" i="3"/>
  <c r="AJ143" i="3"/>
  <c r="AJ144" i="3"/>
  <c r="AJ145" i="3"/>
  <c r="AJ146" i="3"/>
  <c r="AJ147" i="3"/>
  <c r="AJ148" i="3"/>
  <c r="AJ149" i="3"/>
  <c r="AJ150" i="3"/>
  <c r="AJ151" i="3"/>
  <c r="AJ152" i="3"/>
  <c r="AJ153" i="3"/>
  <c r="AJ154" i="3"/>
  <c r="AJ155" i="3"/>
  <c r="AJ156" i="3"/>
  <c r="AJ157" i="3"/>
  <c r="AJ158" i="3"/>
  <c r="AJ159" i="3"/>
  <c r="AJ160" i="3"/>
  <c r="AJ161" i="3"/>
  <c r="AJ162" i="3"/>
  <c r="AJ163" i="3"/>
  <c r="AJ164" i="3"/>
  <c r="AJ165" i="3"/>
  <c r="AJ166" i="3"/>
  <c r="AJ167" i="3"/>
  <c r="AJ168" i="3"/>
  <c r="AJ169" i="3"/>
  <c r="AJ170" i="3"/>
  <c r="AJ171" i="3"/>
  <c r="AJ172" i="3"/>
  <c r="AJ173" i="3"/>
  <c r="AJ174" i="3"/>
  <c r="AJ175" i="3"/>
  <c r="AJ176" i="3"/>
  <c r="AJ177" i="3"/>
  <c r="AJ178" i="3"/>
  <c r="AJ179" i="3"/>
  <c r="AJ180" i="3"/>
  <c r="AJ181" i="3"/>
  <c r="AJ182" i="3"/>
  <c r="AJ183" i="3"/>
  <c r="AJ184" i="3"/>
  <c r="AJ185" i="3"/>
  <c r="L105" i="3"/>
  <c r="AX105" i="3"/>
  <c r="AY105" i="3"/>
  <c r="L106" i="3"/>
  <c r="AX106" i="3"/>
  <c r="AY106" i="3"/>
  <c r="L107" i="3"/>
  <c r="AX107" i="3"/>
  <c r="AY107" i="3"/>
  <c r="L108" i="3"/>
  <c r="AX108" i="3"/>
  <c r="AY108" i="3"/>
  <c r="L109" i="3"/>
  <c r="AX109" i="3"/>
  <c r="AY109" i="3"/>
  <c r="L110" i="3"/>
  <c r="AX110" i="3"/>
  <c r="AY110" i="3"/>
  <c r="L111" i="3"/>
  <c r="AX111" i="3"/>
  <c r="AY111" i="3"/>
  <c r="L112" i="3"/>
  <c r="AX112" i="3"/>
  <c r="AY112" i="3"/>
  <c r="L113" i="3"/>
  <c r="AX113" i="3"/>
  <c r="AY113" i="3"/>
  <c r="L114" i="3"/>
  <c r="AX114" i="3"/>
  <c r="AY114" i="3"/>
  <c r="L115" i="3"/>
  <c r="AX115" i="3"/>
  <c r="AY115" i="3"/>
  <c r="L116" i="3"/>
  <c r="AX116" i="3"/>
  <c r="AY116" i="3"/>
  <c r="L117" i="3"/>
  <c r="AX117" i="3"/>
  <c r="AY117" i="3"/>
  <c r="L118" i="3"/>
  <c r="AX118" i="3"/>
  <c r="AY118" i="3"/>
  <c r="L119" i="3"/>
  <c r="AX119" i="3"/>
  <c r="AY119" i="3"/>
  <c r="L120" i="3"/>
  <c r="AX120" i="3"/>
  <c r="AY120" i="3"/>
  <c r="L121" i="3"/>
  <c r="AX121" i="3"/>
  <c r="AY121" i="3"/>
  <c r="L122" i="3"/>
  <c r="AX122" i="3"/>
  <c r="AY122" i="3"/>
  <c r="L123" i="3"/>
  <c r="AX123" i="3"/>
  <c r="AY123" i="3"/>
  <c r="L124" i="3"/>
  <c r="AX124" i="3"/>
  <c r="AY124" i="3"/>
  <c r="L125" i="3"/>
  <c r="AX125" i="3"/>
  <c r="AY125" i="3"/>
  <c r="L126" i="3"/>
  <c r="AX126" i="3"/>
  <c r="AY126" i="3"/>
  <c r="L127" i="3"/>
  <c r="AX127" i="3"/>
  <c r="AY127" i="3"/>
  <c r="L128" i="3"/>
  <c r="AX128" i="3"/>
  <c r="AY128" i="3"/>
  <c r="L129" i="3"/>
  <c r="AX129" i="3"/>
  <c r="AY129" i="3"/>
  <c r="L130" i="3"/>
  <c r="AX130" i="3"/>
  <c r="AY130" i="3"/>
  <c r="L131" i="3"/>
  <c r="AX131" i="3"/>
  <c r="AY131" i="3"/>
  <c r="L132" i="3"/>
  <c r="AX132" i="3"/>
  <c r="AY132" i="3"/>
  <c r="L133" i="3"/>
  <c r="AX133" i="3"/>
  <c r="AY133" i="3"/>
  <c r="L134" i="3"/>
  <c r="AX134" i="3"/>
  <c r="AY134" i="3"/>
  <c r="L135" i="3"/>
  <c r="AX135" i="3"/>
  <c r="AY135" i="3"/>
  <c r="L136" i="3"/>
  <c r="AX136" i="3"/>
  <c r="AY136" i="3"/>
  <c r="L137" i="3"/>
  <c r="AX137" i="3"/>
  <c r="AY137" i="3"/>
  <c r="L138" i="3"/>
  <c r="AX138" i="3"/>
  <c r="AY138" i="3"/>
  <c r="L139" i="3"/>
  <c r="AX139" i="3"/>
  <c r="AY139" i="3"/>
  <c r="L140" i="3"/>
  <c r="AX140" i="3"/>
  <c r="AY140" i="3"/>
  <c r="L141" i="3"/>
  <c r="AX141" i="3"/>
  <c r="AY141" i="3"/>
  <c r="L142" i="3"/>
  <c r="AX142" i="3"/>
  <c r="AY142" i="3"/>
  <c r="L143" i="3"/>
  <c r="AX143" i="3"/>
  <c r="AY143" i="3"/>
  <c r="L144" i="3"/>
  <c r="AX144" i="3"/>
  <c r="AY144" i="3"/>
  <c r="L145" i="3"/>
  <c r="AX145" i="3"/>
  <c r="AY145" i="3"/>
  <c r="L146" i="3"/>
  <c r="AX146" i="3"/>
  <c r="AY146" i="3"/>
  <c r="L147" i="3"/>
  <c r="AX147" i="3"/>
  <c r="AY147" i="3"/>
  <c r="L148" i="3"/>
  <c r="AX148" i="3"/>
  <c r="AY148" i="3"/>
  <c r="L149" i="3"/>
  <c r="AX149" i="3"/>
  <c r="AY149" i="3"/>
  <c r="L150" i="3"/>
  <c r="AX150" i="3"/>
  <c r="AY150" i="3"/>
  <c r="L151" i="3"/>
  <c r="AX151" i="3"/>
  <c r="AY151" i="3"/>
  <c r="L152" i="3"/>
  <c r="AX152" i="3"/>
  <c r="AY152" i="3"/>
  <c r="L153" i="3"/>
  <c r="AX153" i="3"/>
  <c r="AY153" i="3"/>
  <c r="L154" i="3"/>
  <c r="AX154" i="3"/>
  <c r="AY154" i="3"/>
  <c r="L155" i="3"/>
  <c r="AX155" i="3"/>
  <c r="AY155" i="3"/>
  <c r="L156" i="3"/>
  <c r="AX156" i="3"/>
  <c r="AY156" i="3"/>
  <c r="L157" i="3"/>
  <c r="AX157" i="3"/>
  <c r="AY157" i="3"/>
  <c r="L158" i="3"/>
  <c r="AX158" i="3"/>
  <c r="AY158" i="3"/>
  <c r="L159" i="3"/>
  <c r="AX159" i="3"/>
  <c r="AY159" i="3"/>
  <c r="L160" i="3"/>
  <c r="AX160" i="3"/>
  <c r="AY160" i="3"/>
  <c r="L161" i="3"/>
  <c r="AX161" i="3"/>
  <c r="AY161" i="3"/>
  <c r="L162" i="3"/>
  <c r="AX162" i="3"/>
  <c r="AY162" i="3"/>
  <c r="L163" i="3"/>
  <c r="AX163" i="3"/>
  <c r="AY163" i="3"/>
  <c r="L164" i="3"/>
  <c r="AX164" i="3"/>
  <c r="AY164" i="3"/>
  <c r="L165" i="3"/>
  <c r="AX165" i="3"/>
  <c r="AY165" i="3"/>
  <c r="L166" i="3"/>
  <c r="AX166" i="3"/>
  <c r="AY166" i="3"/>
  <c r="L167" i="3"/>
  <c r="AX167" i="3"/>
  <c r="AY167" i="3"/>
  <c r="L168" i="3"/>
  <c r="AX168" i="3"/>
  <c r="AY168" i="3"/>
  <c r="L169" i="3"/>
  <c r="AX169" i="3"/>
  <c r="AY169" i="3"/>
  <c r="L170" i="3"/>
  <c r="AX170" i="3"/>
  <c r="AY170" i="3"/>
  <c r="L171" i="3"/>
  <c r="AX171" i="3"/>
  <c r="AY171" i="3"/>
  <c r="L172" i="3"/>
  <c r="AX172" i="3"/>
  <c r="AY172" i="3"/>
  <c r="L173" i="3"/>
  <c r="AX173" i="3"/>
  <c r="AY173" i="3"/>
  <c r="L174" i="3"/>
  <c r="AX174" i="3"/>
  <c r="AY174" i="3"/>
  <c r="L175" i="3"/>
  <c r="AX175" i="3"/>
  <c r="AY175" i="3"/>
  <c r="L176" i="3"/>
  <c r="AX176" i="3"/>
  <c r="AY176" i="3"/>
  <c r="L177" i="3"/>
  <c r="AX177" i="3"/>
  <c r="AY177" i="3"/>
  <c r="L178" i="3"/>
  <c r="AX178" i="3"/>
  <c r="AY178" i="3"/>
  <c r="L179" i="3"/>
  <c r="AX179" i="3"/>
  <c r="AY179" i="3"/>
  <c r="L180" i="3"/>
  <c r="AX180" i="3"/>
  <c r="AY180" i="3"/>
  <c r="L181" i="3"/>
  <c r="AX181" i="3"/>
  <c r="AY181" i="3"/>
  <c r="L182" i="3"/>
  <c r="AX182" i="3"/>
  <c r="AY182" i="3"/>
  <c r="L183" i="3"/>
  <c r="AX183" i="3"/>
  <c r="AY183" i="3"/>
  <c r="L184" i="3"/>
  <c r="AX184" i="3"/>
  <c r="AY184" i="3"/>
  <c r="L185" i="3"/>
  <c r="AX185" i="3"/>
  <c r="AY185" i="3"/>
  <c r="L186" i="3"/>
  <c r="AJ186" i="3"/>
  <c r="AX186" i="3"/>
  <c r="AY186" i="3"/>
  <c r="L187" i="3"/>
  <c r="AJ187" i="3"/>
  <c r="AX187" i="3"/>
  <c r="AY187" i="3"/>
  <c r="L188" i="3"/>
  <c r="AJ188" i="3"/>
  <c r="AX188" i="3"/>
  <c r="AY188" i="3"/>
  <c r="L189" i="3"/>
  <c r="AJ189" i="3"/>
  <c r="AX189" i="3"/>
  <c r="AY189" i="3"/>
  <c r="L190" i="3"/>
  <c r="AJ190" i="3"/>
  <c r="AX190" i="3"/>
  <c r="AY190" i="3"/>
  <c r="L191" i="3"/>
  <c r="AJ191" i="3"/>
  <c r="AX191" i="3"/>
  <c r="AY191" i="3"/>
  <c r="L192" i="3"/>
  <c r="AJ192" i="3"/>
  <c r="AX192" i="3"/>
  <c r="AY192" i="3"/>
  <c r="L193" i="3"/>
  <c r="AJ193" i="3"/>
  <c r="AX193" i="3"/>
  <c r="AY193" i="3"/>
  <c r="L194" i="3"/>
  <c r="AJ194" i="3"/>
  <c r="AX194" i="3"/>
  <c r="AY194" i="3"/>
  <c r="L195" i="3"/>
  <c r="AJ195" i="3"/>
  <c r="AX195" i="3"/>
  <c r="AY195" i="3"/>
  <c r="L196" i="3"/>
  <c r="AJ196" i="3"/>
  <c r="AX196" i="3"/>
  <c r="AY196" i="3"/>
  <c r="L197" i="3"/>
  <c r="AJ197" i="3"/>
  <c r="AX197" i="3"/>
  <c r="AY197" i="3"/>
  <c r="L198" i="3"/>
  <c r="AJ198" i="3"/>
  <c r="AX198" i="3"/>
  <c r="AY198" i="3"/>
  <c r="L199" i="3"/>
  <c r="AJ199" i="3"/>
  <c r="AX199" i="3"/>
  <c r="AY199" i="3"/>
  <c r="L200" i="3"/>
  <c r="AJ200" i="3"/>
  <c r="AX200" i="3"/>
  <c r="AY200" i="3"/>
  <c r="L201" i="3"/>
  <c r="AJ201" i="3"/>
  <c r="AX201" i="3"/>
  <c r="AY201" i="3"/>
  <c r="L202" i="3"/>
  <c r="AJ202" i="3"/>
  <c r="AX202" i="3"/>
  <c r="AY202" i="3"/>
  <c r="L203" i="3"/>
  <c r="AJ203" i="3"/>
  <c r="AX203" i="3"/>
  <c r="AY203" i="3"/>
  <c r="L204" i="3"/>
  <c r="AJ204" i="3"/>
  <c r="AX204" i="3"/>
  <c r="AY204" i="3"/>
  <c r="L205" i="3"/>
  <c r="AJ205" i="3"/>
  <c r="AX205" i="3"/>
  <c r="AY205" i="3"/>
  <c r="L206" i="3"/>
  <c r="AJ206" i="3"/>
  <c r="AX206" i="3"/>
  <c r="AY206" i="3"/>
  <c r="L207" i="3"/>
  <c r="AJ207" i="3"/>
  <c r="AX207" i="3"/>
  <c r="AY207" i="3"/>
  <c r="L208" i="3"/>
  <c r="AJ208" i="3"/>
  <c r="AX208" i="3"/>
  <c r="AY208" i="3"/>
  <c r="L209" i="3"/>
  <c r="AJ209" i="3"/>
  <c r="AX209" i="3"/>
  <c r="AY209" i="3"/>
  <c r="L210" i="3"/>
  <c r="AJ210" i="3"/>
  <c r="AX210" i="3"/>
  <c r="AY210" i="3"/>
  <c r="L211" i="3"/>
  <c r="AJ211" i="3"/>
  <c r="AX211" i="3"/>
  <c r="AY211" i="3"/>
  <c r="L212" i="3"/>
  <c r="AJ212" i="3"/>
  <c r="AX212" i="3"/>
  <c r="AY212" i="3"/>
  <c r="L213" i="3"/>
  <c r="AJ213" i="3"/>
  <c r="AX213" i="3"/>
  <c r="AY213" i="3"/>
  <c r="L214" i="3"/>
  <c r="AJ214" i="3"/>
  <c r="AX214" i="3"/>
  <c r="AY214" i="3"/>
  <c r="L215" i="3"/>
  <c r="AJ215" i="3"/>
  <c r="AX215" i="3"/>
  <c r="AY215" i="3"/>
  <c r="L216" i="3"/>
  <c r="AJ216" i="3"/>
  <c r="AX216" i="3"/>
  <c r="AY216" i="3"/>
  <c r="L217" i="3"/>
  <c r="AJ217" i="3"/>
  <c r="AX217" i="3"/>
  <c r="AY217" i="3"/>
  <c r="L218" i="3"/>
  <c r="AJ218" i="3"/>
  <c r="AX218" i="3"/>
  <c r="AY218" i="3"/>
  <c r="L219" i="3"/>
  <c r="AJ219" i="3"/>
  <c r="AX219" i="3"/>
  <c r="AY219" i="3"/>
  <c r="L220" i="3"/>
  <c r="AJ220" i="3"/>
  <c r="AX220" i="3"/>
  <c r="AY220" i="3"/>
  <c r="L221" i="3"/>
  <c r="AJ221" i="3"/>
  <c r="AX221" i="3"/>
  <c r="AY221" i="3"/>
  <c r="L222" i="3"/>
  <c r="AJ222" i="3"/>
  <c r="AX222" i="3"/>
  <c r="AY222" i="3"/>
  <c r="L223" i="3"/>
  <c r="AJ223" i="3"/>
  <c r="AX223" i="3"/>
  <c r="AY223" i="3"/>
  <c r="L224" i="3"/>
  <c r="AJ224" i="3"/>
  <c r="AX224" i="3"/>
  <c r="AY224" i="3"/>
  <c r="L225" i="3"/>
  <c r="AJ225" i="3"/>
  <c r="AX225" i="3"/>
  <c r="AY225" i="3"/>
  <c r="L226" i="3"/>
  <c r="AJ226" i="3"/>
  <c r="AX226" i="3"/>
  <c r="AY226" i="3"/>
  <c r="L227" i="3"/>
  <c r="AJ227" i="3"/>
  <c r="AX227" i="3"/>
  <c r="AY227" i="3"/>
  <c r="L228" i="3"/>
  <c r="AJ228" i="3"/>
  <c r="AX228" i="3"/>
  <c r="AY228" i="3"/>
  <c r="L229" i="3"/>
  <c r="AJ229" i="3"/>
  <c r="AX229" i="3"/>
  <c r="AY229" i="3"/>
  <c r="L230" i="3"/>
  <c r="AJ230" i="3"/>
  <c r="AX230" i="3"/>
  <c r="AY230" i="3"/>
  <c r="L231" i="3"/>
  <c r="AJ231" i="3"/>
  <c r="AX231" i="3"/>
  <c r="AY231" i="3"/>
  <c r="L232" i="3"/>
  <c r="AJ232" i="3"/>
  <c r="AX232" i="3"/>
  <c r="AY232" i="3"/>
  <c r="L233" i="3"/>
  <c r="AJ233" i="3"/>
  <c r="AX233" i="3"/>
  <c r="AY233" i="3"/>
  <c r="L234" i="3"/>
  <c r="AJ234" i="3"/>
  <c r="AX234" i="3"/>
  <c r="AY234" i="3"/>
  <c r="AL12" i="2"/>
  <c r="AY104" i="3"/>
  <c r="AX104" i="3"/>
  <c r="L104" i="3"/>
  <c r="AY103" i="3"/>
  <c r="AX103" i="3"/>
  <c r="L103" i="3"/>
  <c r="AY102" i="3"/>
  <c r="AX102" i="3"/>
  <c r="L102" i="3"/>
  <c r="AY101" i="3"/>
  <c r="AX101" i="3"/>
  <c r="L101" i="3"/>
  <c r="AY100" i="3"/>
  <c r="AX100" i="3"/>
  <c r="L100" i="3"/>
  <c r="AY99" i="3"/>
  <c r="AX99" i="3"/>
  <c r="L99" i="3"/>
  <c r="AY98" i="3"/>
  <c r="AX98" i="3"/>
  <c r="L98" i="3"/>
  <c r="AY97" i="3"/>
  <c r="AX97" i="3"/>
  <c r="L97" i="3"/>
  <c r="AY96" i="3"/>
  <c r="AX96" i="3"/>
  <c r="L96" i="3"/>
  <c r="AY95" i="3"/>
  <c r="AX95" i="3"/>
  <c r="L95" i="3"/>
  <c r="AY94" i="3"/>
  <c r="AX94" i="3"/>
  <c r="L94" i="3"/>
  <c r="AY93" i="3"/>
  <c r="AX93" i="3"/>
  <c r="L93" i="3"/>
  <c r="AY92" i="3"/>
  <c r="AX92" i="3"/>
  <c r="L92" i="3"/>
  <c r="AY91" i="3"/>
  <c r="AX91" i="3"/>
  <c r="L91" i="3"/>
  <c r="AY90" i="3"/>
  <c r="AX90" i="3"/>
  <c r="L90" i="3"/>
  <c r="AY89" i="3"/>
  <c r="AX89" i="3"/>
  <c r="L89" i="3"/>
  <c r="AY88" i="3"/>
  <c r="AX88" i="3"/>
  <c r="L88" i="3"/>
  <c r="AY87" i="3"/>
  <c r="AX87" i="3"/>
  <c r="L87" i="3"/>
  <c r="AY86" i="3"/>
  <c r="AX86" i="3"/>
  <c r="L86" i="3"/>
  <c r="AY85" i="3"/>
  <c r="AX85" i="3"/>
  <c r="L85" i="3"/>
  <c r="AY84" i="3"/>
  <c r="AX84" i="3"/>
  <c r="L84" i="3"/>
  <c r="AY83" i="3"/>
  <c r="AX83" i="3"/>
  <c r="L83" i="3"/>
  <c r="AY82" i="3"/>
  <c r="AX82" i="3"/>
  <c r="L82" i="3"/>
  <c r="AY81" i="3"/>
  <c r="AX81" i="3"/>
  <c r="L81" i="3"/>
  <c r="AY80" i="3"/>
  <c r="AX80" i="3"/>
  <c r="L80" i="3"/>
  <c r="AY79" i="3"/>
  <c r="AX79" i="3"/>
  <c r="L79" i="3"/>
  <c r="G32" i="5"/>
  <c r="G29" i="5"/>
  <c r="G28" i="5"/>
  <c r="O420" i="5" l="1"/>
  <c r="O421" i="5"/>
  <c r="O422" i="5"/>
  <c r="O423" i="5"/>
  <c r="O424" i="5"/>
  <c r="O419" i="5"/>
  <c r="I420" i="5"/>
  <c r="I421" i="5"/>
  <c r="I422" i="5"/>
  <c r="I423" i="5"/>
  <c r="I424" i="5"/>
  <c r="I419" i="5"/>
  <c r="O414" i="5"/>
  <c r="O415" i="5"/>
  <c r="O416" i="5"/>
  <c r="O417" i="5"/>
  <c r="O418" i="5"/>
  <c r="O413" i="5"/>
  <c r="I414" i="5"/>
  <c r="I415" i="5"/>
  <c r="I416" i="5"/>
  <c r="I417" i="5"/>
  <c r="I418" i="5"/>
  <c r="I413" i="5"/>
  <c r="O408" i="5"/>
  <c r="O409" i="5"/>
  <c r="O410" i="5"/>
  <c r="O411" i="5"/>
  <c r="O412" i="5"/>
  <c r="O407" i="5"/>
  <c r="I408" i="5"/>
  <c r="I409" i="5"/>
  <c r="I410" i="5"/>
  <c r="I411" i="5"/>
  <c r="I412" i="5"/>
  <c r="I407" i="5"/>
  <c r="O402" i="5"/>
  <c r="O403" i="5"/>
  <c r="O404" i="5"/>
  <c r="O405" i="5"/>
  <c r="O406" i="5"/>
  <c r="O401" i="5"/>
  <c r="I402" i="5"/>
  <c r="I403" i="5"/>
  <c r="I404" i="5"/>
  <c r="I405" i="5"/>
  <c r="I406" i="5"/>
  <c r="I401" i="5"/>
  <c r="I503" i="5"/>
  <c r="I504" i="5"/>
  <c r="I505" i="5"/>
  <c r="I506" i="5"/>
  <c r="I507" i="5"/>
  <c r="I508" i="5"/>
  <c r="I509" i="5"/>
  <c r="I510" i="5"/>
  <c r="I502" i="5"/>
  <c r="O503" i="5"/>
  <c r="O504" i="5"/>
  <c r="O505" i="5"/>
  <c r="O506" i="5"/>
  <c r="O507" i="5"/>
  <c r="O508" i="5"/>
  <c r="O509" i="5"/>
  <c r="O510" i="5"/>
  <c r="O502" i="5"/>
  <c r="O494" i="5"/>
  <c r="O495" i="5"/>
  <c r="O496" i="5"/>
  <c r="O497" i="5"/>
  <c r="O498" i="5"/>
  <c r="O499" i="5"/>
  <c r="O500" i="5"/>
  <c r="O501" i="5"/>
  <c r="O493" i="5"/>
  <c r="I494" i="5"/>
  <c r="I495" i="5"/>
  <c r="I496" i="5"/>
  <c r="I497" i="5"/>
  <c r="I498" i="5"/>
  <c r="I499" i="5"/>
  <c r="I500" i="5"/>
  <c r="I501" i="5"/>
  <c r="I493" i="5"/>
  <c r="O485" i="5"/>
  <c r="O486" i="5"/>
  <c r="O487" i="5"/>
  <c r="O488" i="5"/>
  <c r="O489" i="5"/>
  <c r="O490" i="5"/>
  <c r="O491" i="5"/>
  <c r="O492" i="5"/>
  <c r="O484" i="5"/>
  <c r="I485" i="5"/>
  <c r="I486" i="5"/>
  <c r="I487" i="5"/>
  <c r="I488" i="5"/>
  <c r="I489" i="5"/>
  <c r="I490" i="5"/>
  <c r="I491" i="5"/>
  <c r="I492" i="5"/>
  <c r="I484" i="5"/>
  <c r="O476" i="5"/>
  <c r="O477" i="5"/>
  <c r="O478" i="5"/>
  <c r="O479" i="5"/>
  <c r="O480" i="5"/>
  <c r="O481" i="5"/>
  <c r="O482" i="5"/>
  <c r="O483" i="5"/>
  <c r="O475" i="5"/>
  <c r="I476" i="5"/>
  <c r="I477" i="5"/>
  <c r="I478" i="5"/>
  <c r="I479" i="5"/>
  <c r="I480" i="5"/>
  <c r="I481" i="5"/>
  <c r="I482" i="5"/>
  <c r="I483" i="5"/>
  <c r="I475" i="5"/>
  <c r="O468" i="5"/>
  <c r="O469" i="5"/>
  <c r="O470" i="5"/>
  <c r="O471" i="5"/>
  <c r="O472" i="5"/>
  <c r="O467" i="5"/>
  <c r="I468" i="5"/>
  <c r="I469" i="5"/>
  <c r="I470" i="5"/>
  <c r="I471" i="5"/>
  <c r="I472" i="5"/>
  <c r="I467" i="5"/>
  <c r="O462" i="5"/>
  <c r="O463" i="5"/>
  <c r="O464" i="5"/>
  <c r="O465" i="5"/>
  <c r="O466" i="5"/>
  <c r="O461" i="5"/>
  <c r="I462" i="5"/>
  <c r="I463" i="5"/>
  <c r="I464" i="5"/>
  <c r="I465" i="5"/>
  <c r="I466" i="5"/>
  <c r="I461" i="5"/>
  <c r="O456" i="5"/>
  <c r="O457" i="5"/>
  <c r="O458" i="5"/>
  <c r="O459" i="5"/>
  <c r="O460" i="5"/>
  <c r="O455" i="5"/>
  <c r="I456" i="5"/>
  <c r="I457" i="5"/>
  <c r="I458" i="5"/>
  <c r="I459" i="5"/>
  <c r="I460" i="5"/>
  <c r="I455" i="5"/>
  <c r="I450" i="5"/>
  <c r="I451" i="5"/>
  <c r="I452" i="5"/>
  <c r="I453" i="5"/>
  <c r="I454" i="5"/>
  <c r="I449" i="5"/>
  <c r="O450" i="5"/>
  <c r="O451" i="5"/>
  <c r="O452" i="5"/>
  <c r="O453" i="5"/>
  <c r="O454" i="5"/>
  <c r="O449" i="5"/>
  <c r="O443" i="5"/>
  <c r="O444" i="5"/>
  <c r="O445" i="5"/>
  <c r="O446" i="5"/>
  <c r="O442" i="5"/>
  <c r="I443" i="5"/>
  <c r="I444" i="5"/>
  <c r="I445" i="5"/>
  <c r="I446" i="5"/>
  <c r="I442" i="5"/>
  <c r="O438" i="5"/>
  <c r="O439" i="5"/>
  <c r="O440" i="5"/>
  <c r="O441" i="5"/>
  <c r="O437" i="5"/>
  <c r="I438" i="5"/>
  <c r="I439" i="5"/>
  <c r="I440" i="5"/>
  <c r="I441" i="5"/>
  <c r="I437" i="5"/>
  <c r="O433" i="5"/>
  <c r="O434" i="5"/>
  <c r="O435" i="5"/>
  <c r="O436" i="5"/>
  <c r="O432" i="5"/>
  <c r="I433" i="5"/>
  <c r="I434" i="5"/>
  <c r="I435" i="5"/>
  <c r="I436" i="5"/>
  <c r="I432" i="5"/>
  <c r="O428" i="5"/>
  <c r="O429" i="5"/>
  <c r="O430" i="5"/>
  <c r="O431" i="5"/>
  <c r="O427" i="5"/>
  <c r="I428" i="5"/>
  <c r="I429" i="5"/>
  <c r="I430" i="5"/>
  <c r="I431" i="5"/>
  <c r="I427" i="5"/>
  <c r="H108" i="5"/>
  <c r="H109" i="5"/>
  <c r="H110" i="5"/>
  <c r="H111" i="5"/>
  <c r="H112" i="5"/>
  <c r="H113" i="5"/>
  <c r="H114" i="5"/>
  <c r="H107" i="5"/>
  <c r="H11" i="5"/>
  <c r="H12" i="5"/>
  <c r="H13" i="5"/>
  <c r="H14" i="5"/>
  <c r="H10" i="5"/>
  <c r="H18" i="5"/>
  <c r="H19" i="5"/>
  <c r="H20" i="5"/>
  <c r="H21" i="5"/>
  <c r="H22" i="5"/>
  <c r="H23" i="5"/>
  <c r="H24" i="5"/>
  <c r="H25" i="5"/>
  <c r="H17" i="5"/>
  <c r="G141" i="5"/>
  <c r="M141" i="5"/>
  <c r="G142" i="5"/>
  <c r="M142" i="5"/>
  <c r="G143" i="5"/>
  <c r="M143" i="5"/>
  <c r="G144" i="5"/>
  <c r="M144" i="5"/>
  <c r="G145" i="5"/>
  <c r="M145" i="5"/>
  <c r="G146" i="5"/>
  <c r="M146" i="5"/>
  <c r="G147" i="5"/>
  <c r="M147" i="5"/>
  <c r="G148" i="5"/>
  <c r="M148" i="5"/>
  <c r="G149" i="5"/>
  <c r="M149" i="5"/>
  <c r="G150" i="5"/>
  <c r="M150" i="5"/>
  <c r="G151" i="5"/>
  <c r="M151" i="5"/>
  <c r="G152" i="5"/>
  <c r="M152" i="5"/>
  <c r="G153" i="5"/>
  <c r="M153" i="5"/>
  <c r="G154" i="5"/>
  <c r="M154" i="5"/>
  <c r="G155" i="5"/>
  <c r="M155" i="5"/>
  <c r="G156" i="5"/>
  <c r="M156" i="5"/>
  <c r="G157" i="5"/>
  <c r="M157" i="5"/>
  <c r="G158" i="5"/>
  <c r="M158" i="5"/>
  <c r="G159" i="5"/>
  <c r="M159" i="5"/>
  <c r="G160" i="5"/>
  <c r="M160" i="5"/>
  <c r="G161" i="5"/>
  <c r="M161" i="5"/>
  <c r="G162" i="5"/>
  <c r="M162" i="5"/>
  <c r="G163" i="5"/>
  <c r="M163" i="5"/>
  <c r="G164" i="5"/>
  <c r="M164" i="5"/>
  <c r="G165" i="5"/>
  <c r="M165" i="5"/>
  <c r="G166" i="5"/>
  <c r="M166" i="5"/>
  <c r="G167" i="5"/>
  <c r="M167" i="5"/>
  <c r="G168" i="5"/>
  <c r="M168" i="5"/>
  <c r="G169" i="5"/>
  <c r="M169" i="5"/>
  <c r="G170" i="5"/>
  <c r="M170" i="5"/>
  <c r="G171" i="5"/>
  <c r="M171" i="5"/>
  <c r="G172" i="5"/>
  <c r="M172" i="5"/>
  <c r="G173" i="5"/>
  <c r="M173" i="5"/>
  <c r="G174" i="5"/>
  <c r="M174" i="5"/>
  <c r="G175" i="5"/>
  <c r="M175" i="5"/>
  <c r="G176" i="5"/>
  <c r="M176" i="5"/>
  <c r="G177" i="5"/>
  <c r="M177" i="5"/>
  <c r="G178" i="5"/>
  <c r="M178" i="5"/>
  <c r="G179" i="5"/>
  <c r="M179" i="5"/>
  <c r="G180" i="5"/>
  <c r="M180" i="5"/>
  <c r="G181" i="5"/>
  <c r="M181" i="5"/>
  <c r="G182" i="5"/>
  <c r="M182" i="5"/>
  <c r="G183" i="5"/>
  <c r="M183" i="5"/>
  <c r="G184" i="5"/>
  <c r="M184" i="5"/>
  <c r="G185" i="5"/>
  <c r="M185" i="5"/>
  <c r="G186" i="5"/>
  <c r="M186" i="5"/>
  <c r="G187" i="5"/>
  <c r="M187" i="5"/>
  <c r="G188" i="5"/>
  <c r="M188" i="5"/>
  <c r="G189" i="5"/>
  <c r="M189" i="5"/>
  <c r="G190" i="5"/>
  <c r="M190" i="5"/>
  <c r="G191" i="5"/>
  <c r="M191" i="5"/>
  <c r="G192" i="5"/>
  <c r="M192" i="5"/>
  <c r="G193" i="5"/>
  <c r="M193" i="5"/>
  <c r="G194" i="5"/>
  <c r="M194" i="5"/>
  <c r="G195" i="5"/>
  <c r="M195" i="5"/>
  <c r="G196" i="5"/>
  <c r="M196" i="5"/>
  <c r="G197" i="5"/>
  <c r="M197" i="5"/>
  <c r="G198" i="5"/>
  <c r="M198" i="5"/>
  <c r="G199" i="5"/>
  <c r="M199" i="5"/>
  <c r="G200" i="5"/>
  <c r="M200" i="5"/>
  <c r="G201" i="5"/>
  <c r="M201" i="5"/>
  <c r="G202" i="5"/>
  <c r="M202" i="5"/>
  <c r="G203" i="5"/>
  <c r="M203" i="5"/>
  <c r="G204" i="5"/>
  <c r="M204" i="5"/>
  <c r="G205" i="5"/>
  <c r="M205" i="5"/>
  <c r="G206" i="5"/>
  <c r="M206" i="5"/>
  <c r="G207" i="5"/>
  <c r="M207" i="5"/>
  <c r="G208" i="5"/>
  <c r="M208" i="5"/>
  <c r="G209" i="5"/>
  <c r="M209" i="5"/>
  <c r="G210" i="5"/>
  <c r="M210" i="5"/>
  <c r="G211" i="5"/>
  <c r="M211" i="5"/>
  <c r="G212" i="5"/>
  <c r="M212" i="5"/>
  <c r="G213" i="5"/>
  <c r="M213" i="5"/>
  <c r="G214" i="5"/>
  <c r="M214" i="5"/>
  <c r="G215" i="5"/>
  <c r="M215" i="5"/>
  <c r="G216" i="5"/>
  <c r="M216" i="5"/>
  <c r="G217" i="5"/>
  <c r="M217" i="5"/>
  <c r="G218" i="5"/>
  <c r="M218" i="5"/>
  <c r="G219" i="5"/>
  <c r="M219" i="5"/>
  <c r="G220" i="5"/>
  <c r="M220" i="5"/>
  <c r="G221" i="5"/>
  <c r="M221" i="5"/>
  <c r="G222" i="5"/>
  <c r="M222" i="5"/>
  <c r="G223" i="5"/>
  <c r="M223" i="5"/>
  <c r="G224" i="5"/>
  <c r="M224" i="5"/>
  <c r="G225" i="5"/>
  <c r="M225" i="5"/>
  <c r="G226" i="5"/>
  <c r="M226" i="5"/>
  <c r="G227" i="5"/>
  <c r="M227" i="5"/>
  <c r="G228" i="5"/>
  <c r="M228" i="5"/>
  <c r="G229" i="5"/>
  <c r="M229" i="5"/>
  <c r="G230" i="5"/>
  <c r="M230" i="5"/>
  <c r="G231" i="5"/>
  <c r="M231" i="5"/>
  <c r="G232" i="5"/>
  <c r="M232" i="5"/>
  <c r="G233" i="5"/>
  <c r="M233" i="5"/>
  <c r="G234" i="5"/>
  <c r="M234" i="5"/>
  <c r="G235" i="5"/>
  <c r="M235" i="5"/>
  <c r="G236" i="5"/>
  <c r="M236" i="5"/>
  <c r="G237" i="5"/>
  <c r="M237" i="5"/>
  <c r="G238" i="5"/>
  <c r="M238" i="5"/>
  <c r="G239" i="5"/>
  <c r="M239" i="5"/>
  <c r="G240" i="5"/>
  <c r="M240" i="5"/>
  <c r="G241" i="5"/>
  <c r="M241" i="5"/>
  <c r="G242" i="5"/>
  <c r="M242" i="5"/>
  <c r="G243" i="5"/>
  <c r="M243" i="5"/>
  <c r="G244" i="5"/>
  <c r="M244" i="5"/>
  <c r="G245" i="5"/>
  <c r="M245" i="5"/>
  <c r="G246" i="5"/>
  <c r="M246" i="5"/>
  <c r="G247" i="5"/>
  <c r="M247" i="5"/>
  <c r="G248" i="5"/>
  <c r="M248" i="5"/>
  <c r="G249" i="5"/>
  <c r="M249" i="5"/>
  <c r="G250" i="5"/>
  <c r="M250" i="5"/>
  <c r="G251" i="5"/>
  <c r="M251" i="5"/>
  <c r="G252" i="5"/>
  <c r="M252" i="5"/>
  <c r="G253" i="5"/>
  <c r="M253" i="5"/>
  <c r="G254" i="5"/>
  <c r="M254" i="5"/>
  <c r="G255" i="5"/>
  <c r="M255" i="5"/>
  <c r="G256" i="5"/>
  <c r="M256" i="5"/>
  <c r="G257" i="5"/>
  <c r="M257" i="5"/>
  <c r="G258" i="5"/>
  <c r="M258" i="5"/>
  <c r="G259" i="5"/>
  <c r="M259" i="5"/>
  <c r="G260" i="5"/>
  <c r="M260" i="5"/>
  <c r="G261" i="5"/>
  <c r="M261" i="5"/>
  <c r="G262" i="5"/>
  <c r="M262" i="5"/>
  <c r="G263" i="5"/>
  <c r="M263" i="5"/>
  <c r="G264" i="5"/>
  <c r="M264" i="5"/>
  <c r="G265" i="5"/>
  <c r="M265" i="5"/>
  <c r="G266" i="5"/>
  <c r="M266" i="5"/>
  <c r="G267" i="5"/>
  <c r="M267" i="5"/>
  <c r="G268" i="5"/>
  <c r="M268" i="5"/>
  <c r="G269" i="5"/>
  <c r="M269" i="5"/>
  <c r="G270" i="5"/>
  <c r="M270" i="5"/>
  <c r="G271" i="5"/>
  <c r="M271" i="5"/>
  <c r="G272" i="5"/>
  <c r="M272" i="5"/>
  <c r="G273" i="5"/>
  <c r="M273" i="5"/>
  <c r="G274" i="5"/>
  <c r="M274" i="5"/>
  <c r="G275" i="5"/>
  <c r="M275" i="5"/>
  <c r="G276" i="5"/>
  <c r="M276" i="5"/>
  <c r="G277" i="5"/>
  <c r="M277" i="5"/>
  <c r="G278" i="5"/>
  <c r="M278" i="5"/>
  <c r="G279" i="5"/>
  <c r="M279" i="5"/>
  <c r="G280" i="5"/>
  <c r="M280" i="5"/>
  <c r="G281" i="5"/>
  <c r="M281" i="5"/>
  <c r="G282" i="5"/>
  <c r="M282" i="5"/>
  <c r="G283" i="5"/>
  <c r="M283" i="5"/>
  <c r="G284" i="5"/>
  <c r="M284" i="5"/>
  <c r="G285" i="5"/>
  <c r="M285" i="5"/>
  <c r="G286" i="5"/>
  <c r="M286" i="5"/>
  <c r="G287" i="5"/>
  <c r="M287" i="5"/>
  <c r="G288" i="5"/>
  <c r="M288" i="5"/>
  <c r="G289" i="5"/>
  <c r="M289" i="5"/>
  <c r="G290" i="5"/>
  <c r="M290" i="5"/>
  <c r="G291" i="5"/>
  <c r="M291" i="5"/>
  <c r="G292" i="5"/>
  <c r="M292" i="5"/>
  <c r="G293" i="5"/>
  <c r="M293" i="5"/>
  <c r="G294" i="5"/>
  <c r="M294" i="5"/>
  <c r="G295" i="5"/>
  <c r="M295" i="5"/>
  <c r="G296" i="5"/>
  <c r="M296" i="5"/>
  <c r="G297" i="5"/>
  <c r="M297" i="5"/>
  <c r="G298" i="5"/>
  <c r="M298" i="5"/>
  <c r="G299" i="5"/>
  <c r="M299" i="5"/>
  <c r="G300" i="5"/>
  <c r="M300" i="5"/>
  <c r="G301" i="5"/>
  <c r="M301" i="5"/>
  <c r="G302" i="5"/>
  <c r="M302" i="5"/>
  <c r="G303" i="5"/>
  <c r="M303" i="5"/>
  <c r="G304" i="5"/>
  <c r="M304" i="5"/>
  <c r="G305" i="5"/>
  <c r="M305" i="5"/>
  <c r="G306" i="5"/>
  <c r="M306" i="5"/>
  <c r="G307" i="5"/>
  <c r="M307" i="5"/>
  <c r="G308" i="5"/>
  <c r="M308" i="5"/>
  <c r="G309" i="5"/>
  <c r="M309" i="5"/>
  <c r="G310" i="5"/>
  <c r="M310" i="5"/>
  <c r="G311" i="5"/>
  <c r="M311" i="5"/>
  <c r="G312" i="5"/>
  <c r="M312" i="5"/>
  <c r="G313" i="5"/>
  <c r="M313" i="5"/>
  <c r="G314" i="5"/>
  <c r="M314" i="5"/>
  <c r="G315" i="5"/>
  <c r="M315" i="5"/>
  <c r="G316" i="5"/>
  <c r="M316" i="5"/>
  <c r="G317" i="5"/>
  <c r="M317" i="5"/>
  <c r="G318" i="5"/>
  <c r="M318" i="5"/>
  <c r="G319" i="5"/>
  <c r="M319" i="5"/>
  <c r="G320" i="5"/>
  <c r="M320" i="5"/>
  <c r="G321" i="5"/>
  <c r="M321" i="5"/>
  <c r="G322" i="5"/>
  <c r="M322" i="5"/>
  <c r="G323" i="5"/>
  <c r="M323" i="5"/>
  <c r="G324" i="5"/>
  <c r="M324" i="5"/>
  <c r="G325" i="5"/>
  <c r="M325" i="5"/>
  <c r="G326" i="5"/>
  <c r="M326" i="5"/>
  <c r="G327" i="5"/>
  <c r="M327" i="5"/>
  <c r="G328" i="5"/>
  <c r="M328" i="5"/>
  <c r="G329" i="5"/>
  <c r="M329" i="5"/>
  <c r="G330" i="5"/>
  <c r="M330" i="5"/>
  <c r="G331" i="5"/>
  <c r="M331" i="5"/>
  <c r="G332" i="5"/>
  <c r="M332" i="5"/>
  <c r="G333" i="5"/>
  <c r="M333" i="5"/>
  <c r="G334" i="5"/>
  <c r="M334" i="5"/>
  <c r="G335" i="5"/>
  <c r="M335" i="5"/>
  <c r="G336" i="5"/>
  <c r="M336" i="5"/>
  <c r="G337" i="5"/>
  <c r="M337" i="5"/>
  <c r="G338" i="5"/>
  <c r="M338" i="5"/>
  <c r="G339" i="5"/>
  <c r="M339" i="5"/>
  <c r="G340" i="5"/>
  <c r="M340" i="5"/>
  <c r="G343" i="5"/>
  <c r="M343" i="5"/>
  <c r="G344" i="5"/>
  <c r="M344" i="5"/>
  <c r="G345" i="5"/>
  <c r="M345" i="5"/>
  <c r="G346" i="5"/>
  <c r="M346" i="5"/>
  <c r="G347" i="5"/>
  <c r="M347" i="5"/>
  <c r="G348" i="5"/>
  <c r="M348" i="5"/>
  <c r="G349" i="5"/>
  <c r="M349" i="5"/>
  <c r="G350" i="5"/>
  <c r="M350" i="5"/>
  <c r="G351" i="5"/>
  <c r="M351" i="5"/>
  <c r="G352" i="5"/>
  <c r="M352" i="5"/>
  <c r="G353" i="5"/>
  <c r="M353" i="5"/>
  <c r="G354" i="5"/>
  <c r="M354" i="5"/>
  <c r="G355" i="5"/>
  <c r="M355" i="5"/>
  <c r="G356" i="5"/>
  <c r="M356" i="5"/>
  <c r="G357" i="5"/>
  <c r="M357" i="5"/>
  <c r="G358" i="5"/>
  <c r="M358" i="5"/>
  <c r="G359" i="5"/>
  <c r="M359" i="5"/>
  <c r="G360" i="5"/>
  <c r="M360" i="5"/>
  <c r="G361" i="5"/>
  <c r="M361" i="5"/>
  <c r="G362" i="5"/>
  <c r="M362" i="5"/>
  <c r="G363" i="5"/>
  <c r="M363" i="5"/>
  <c r="G364" i="5"/>
  <c r="M364" i="5"/>
  <c r="G365" i="5"/>
  <c r="M365" i="5"/>
  <c r="G366" i="5"/>
  <c r="M366" i="5"/>
  <c r="G367" i="5"/>
  <c r="M367" i="5"/>
  <c r="G368" i="5"/>
  <c r="M368" i="5"/>
  <c r="G369" i="5"/>
  <c r="M369" i="5"/>
  <c r="G370" i="5"/>
  <c r="M370" i="5"/>
  <c r="G371" i="5"/>
  <c r="M371" i="5"/>
  <c r="G372" i="5"/>
  <c r="M372" i="5"/>
  <c r="G373" i="5"/>
  <c r="M373" i="5"/>
  <c r="G374" i="5"/>
  <c r="M374" i="5"/>
  <c r="G375" i="5"/>
  <c r="M375" i="5"/>
  <c r="G376" i="5"/>
  <c r="M376" i="5"/>
  <c r="G377" i="5"/>
  <c r="M377" i="5"/>
  <c r="G378" i="5"/>
  <c r="M378" i="5"/>
  <c r="G379" i="5"/>
  <c r="M379" i="5"/>
  <c r="G380" i="5"/>
  <c r="M380" i="5"/>
  <c r="G381" i="5"/>
  <c r="M381" i="5"/>
  <c r="G382" i="5"/>
  <c r="M382" i="5"/>
  <c r="G383" i="5"/>
  <c r="M383" i="5"/>
  <c r="G384" i="5"/>
  <c r="M384" i="5"/>
  <c r="G385" i="5"/>
  <c r="M385" i="5"/>
  <c r="G386" i="5"/>
  <c r="M386" i="5"/>
  <c r="G387" i="5"/>
  <c r="M387" i="5"/>
  <c r="G388" i="5"/>
  <c r="M388" i="5"/>
  <c r="G389" i="5"/>
  <c r="M389" i="5"/>
  <c r="G390" i="5"/>
  <c r="M390" i="5"/>
  <c r="G391" i="5"/>
  <c r="M391" i="5"/>
  <c r="G392" i="5"/>
  <c r="M392" i="5"/>
  <c r="G393" i="5"/>
  <c r="M393" i="5"/>
  <c r="G394" i="5"/>
  <c r="M394" i="5"/>
  <c r="G395" i="5"/>
  <c r="M395" i="5"/>
  <c r="G396" i="5"/>
  <c r="M396" i="5"/>
  <c r="G397" i="5"/>
  <c r="M397" i="5"/>
  <c r="G398" i="5"/>
  <c r="M398" i="5"/>
  <c r="B363" i="5"/>
  <c r="B362" i="5"/>
  <c r="B361" i="5"/>
  <c r="B360" i="5"/>
  <c r="B359" i="5"/>
  <c r="B358" i="5"/>
  <c r="B357" i="5"/>
  <c r="B356" i="5"/>
  <c r="B355" i="5"/>
  <c r="B354" i="5"/>
  <c r="B353" i="5"/>
  <c r="B352" i="5"/>
  <c r="B351" i="5"/>
  <c r="B350" i="5"/>
  <c r="B349" i="5"/>
  <c r="B348" i="5"/>
  <c r="B347" i="5"/>
  <c r="B346" i="5"/>
  <c r="B345" i="5"/>
  <c r="B344" i="5"/>
  <c r="B343" i="5"/>
  <c r="B342" i="5"/>
  <c r="B341" i="5"/>
  <c r="B340" i="5"/>
  <c r="B339" i="5"/>
  <c r="B338" i="5"/>
  <c r="B337" i="5"/>
  <c r="B336" i="5"/>
  <c r="B335" i="5"/>
  <c r="B334" i="5"/>
  <c r="B333" i="5"/>
  <c r="B332" i="5"/>
  <c r="B331" i="5"/>
  <c r="B330" i="5"/>
  <c r="B329" i="5"/>
  <c r="B328" i="5"/>
  <c r="B327" i="5"/>
  <c r="B326" i="5"/>
  <c r="B325" i="5"/>
  <c r="B324" i="5"/>
  <c r="B323" i="5"/>
  <c r="B322" i="5"/>
  <c r="B321" i="5"/>
  <c r="B320" i="5"/>
  <c r="B319" i="5"/>
  <c r="B318" i="5"/>
  <c r="B317" i="5"/>
  <c r="B316" i="5"/>
  <c r="B315" i="5"/>
  <c r="B314" i="5"/>
  <c r="B313" i="5"/>
  <c r="B312" i="5"/>
  <c r="B311" i="5"/>
  <c r="B310" i="5"/>
  <c r="B309" i="5"/>
  <c r="B308" i="5"/>
  <c r="B307" i="5"/>
  <c r="B306" i="5"/>
  <c r="B305" i="5"/>
  <c r="B304" i="5"/>
  <c r="B303" i="5"/>
  <c r="B302" i="5"/>
  <c r="B301" i="5"/>
  <c r="B300" i="5"/>
  <c r="B299" i="5"/>
  <c r="B298" i="5"/>
  <c r="B297" i="5"/>
  <c r="B296" i="5"/>
  <c r="B295" i="5"/>
  <c r="B294" i="5"/>
  <c r="B293" i="5"/>
  <c r="B292" i="5"/>
  <c r="B291" i="5"/>
  <c r="B290" i="5"/>
  <c r="B289" i="5"/>
  <c r="B288" i="5"/>
  <c r="B287" i="5"/>
  <c r="B286" i="5"/>
  <c r="B285" i="5"/>
  <c r="B284" i="5"/>
  <c r="B283" i="5"/>
  <c r="B282" i="5"/>
  <c r="B281" i="5"/>
  <c r="B280" i="5"/>
  <c r="B279" i="5"/>
  <c r="B278" i="5"/>
  <c r="B277" i="5"/>
  <c r="B276" i="5"/>
  <c r="B275" i="5"/>
  <c r="B274" i="5"/>
  <c r="B273" i="5"/>
  <c r="B272" i="5"/>
  <c r="B271" i="5"/>
  <c r="B270" i="5"/>
  <c r="B269" i="5"/>
  <c r="B268" i="5"/>
  <c r="B267" i="5"/>
  <c r="B266" i="5"/>
  <c r="B265" i="5"/>
  <c r="B264" i="5"/>
  <c r="B263" i="5"/>
  <c r="B262" i="5"/>
  <c r="B261" i="5"/>
  <c r="B260" i="5"/>
  <c r="B259" i="5"/>
  <c r="B258" i="5"/>
  <c r="B257" i="5"/>
  <c r="B256" i="5"/>
  <c r="B255" i="5"/>
  <c r="A252" i="5"/>
  <c r="B252" i="5" s="1"/>
  <c r="A251" i="5"/>
  <c r="B251" i="5" s="1"/>
  <c r="A250" i="5"/>
  <c r="B250" i="5" s="1"/>
  <c r="A249" i="5"/>
  <c r="B249" i="5" s="1"/>
  <c r="A248" i="5"/>
  <c r="B248" i="5" s="1"/>
  <c r="A247" i="5"/>
  <c r="B247" i="5" s="1"/>
  <c r="A246" i="5"/>
  <c r="B246" i="5" s="1"/>
  <c r="A245" i="5"/>
  <c r="B245" i="5" s="1"/>
  <c r="A244" i="5"/>
  <c r="B244" i="5" s="1"/>
  <c r="A243" i="5"/>
  <c r="B243" i="5" s="1"/>
  <c r="A242" i="5"/>
  <c r="B242" i="5" s="1"/>
  <c r="A241" i="5"/>
  <c r="B241" i="5" s="1"/>
  <c r="A240" i="5"/>
  <c r="B240" i="5" s="1"/>
  <c r="A239" i="5"/>
  <c r="B239" i="5" s="1"/>
  <c r="A238" i="5"/>
  <c r="B238" i="5" s="1"/>
  <c r="A237" i="5"/>
  <c r="B237" i="5" s="1"/>
  <c r="A236" i="5"/>
  <c r="B236" i="5" s="1"/>
  <c r="A235" i="5"/>
  <c r="B235" i="5" s="1"/>
  <c r="A234" i="5"/>
  <c r="B234" i="5" s="1"/>
  <c r="A233" i="5"/>
  <c r="B233" i="5" s="1"/>
  <c r="A232" i="5"/>
  <c r="B232" i="5" s="1"/>
  <c r="A231" i="5"/>
  <c r="B231" i="5" s="1"/>
  <c r="A230" i="5"/>
  <c r="B230" i="5" s="1"/>
  <c r="A229" i="5"/>
  <c r="B229" i="5" s="1"/>
  <c r="A228" i="5"/>
  <c r="B228" i="5" s="1"/>
  <c r="A227" i="5"/>
  <c r="B227" i="5" s="1"/>
  <c r="A226" i="5"/>
  <c r="B226" i="5" s="1"/>
  <c r="A225" i="5"/>
  <c r="B225" i="5" s="1"/>
  <c r="A224" i="5"/>
  <c r="B224" i="5" s="1"/>
  <c r="A223" i="5"/>
  <c r="B223" i="5" s="1"/>
  <c r="A222" i="5"/>
  <c r="B222" i="5" s="1"/>
  <c r="A221" i="5"/>
  <c r="B221" i="5" s="1"/>
  <c r="A220" i="5"/>
  <c r="B220" i="5" s="1"/>
  <c r="A219" i="5"/>
  <c r="B219" i="5" s="1"/>
  <c r="A218" i="5"/>
  <c r="B218" i="5" s="1"/>
  <c r="A217" i="5"/>
  <c r="B217" i="5" s="1"/>
  <c r="A216" i="5"/>
  <c r="B216" i="5" s="1"/>
  <c r="A215" i="5"/>
  <c r="B215" i="5" s="1"/>
  <c r="A214" i="5"/>
  <c r="B214" i="5" s="1"/>
  <c r="A213" i="5"/>
  <c r="B213" i="5" s="1"/>
  <c r="A212" i="5"/>
  <c r="B212" i="5" s="1"/>
  <c r="A211" i="5"/>
  <c r="B211" i="5" s="1"/>
  <c r="A210" i="5"/>
  <c r="B210" i="5" s="1"/>
  <c r="A209" i="5"/>
  <c r="B209" i="5" s="1"/>
  <c r="A208" i="5"/>
  <c r="B208" i="5" s="1"/>
  <c r="A207" i="5"/>
  <c r="B207" i="5" s="1"/>
  <c r="A206" i="5"/>
  <c r="B206" i="5" s="1"/>
  <c r="A205" i="5"/>
  <c r="B205" i="5" s="1"/>
  <c r="A204" i="5"/>
  <c r="B204" i="5" s="1"/>
  <c r="A203" i="5"/>
  <c r="B203" i="5" s="1"/>
  <c r="A202" i="5"/>
  <c r="B202" i="5" s="1"/>
  <c r="A201" i="5"/>
  <c r="B201" i="5" s="1"/>
  <c r="A200" i="5"/>
  <c r="B200" i="5" s="1"/>
  <c r="A199" i="5"/>
  <c r="B199" i="5" s="1"/>
  <c r="A198" i="5"/>
  <c r="B198" i="5" s="1"/>
  <c r="A197" i="5"/>
  <c r="B197" i="5" s="1"/>
  <c r="A196" i="5"/>
  <c r="B196" i="5" s="1"/>
  <c r="A195" i="5"/>
  <c r="B195" i="5" s="1"/>
  <c r="A194" i="5"/>
  <c r="B194" i="5" s="1"/>
  <c r="A193" i="5"/>
  <c r="B193" i="5" s="1"/>
  <c r="A192" i="5"/>
  <c r="B192" i="5" s="1"/>
  <c r="A191" i="5"/>
  <c r="B191" i="5" s="1"/>
  <c r="A190" i="5"/>
  <c r="B190" i="5" s="1"/>
  <c r="A189" i="5"/>
  <c r="B189" i="5" s="1"/>
  <c r="A188" i="5"/>
  <c r="B188" i="5" s="1"/>
  <c r="A187" i="5"/>
  <c r="B187" i="5" s="1"/>
  <c r="A186" i="5"/>
  <c r="B186" i="5" s="1"/>
  <c r="A185" i="5"/>
  <c r="B185" i="5" s="1"/>
  <c r="A184" i="5"/>
  <c r="B184" i="5" s="1"/>
  <c r="A183" i="5"/>
  <c r="B183" i="5" s="1"/>
  <c r="A182" i="5"/>
  <c r="B182" i="5" s="1"/>
  <c r="A181" i="5"/>
  <c r="B181" i="5" s="1"/>
  <c r="A180" i="5"/>
  <c r="B180" i="5" s="1"/>
  <c r="A179" i="5"/>
  <c r="B179" i="5" s="1"/>
  <c r="A178" i="5"/>
  <c r="B178" i="5" s="1"/>
  <c r="A177" i="5"/>
  <c r="B177" i="5" s="1"/>
  <c r="A176" i="5"/>
  <c r="B176" i="5" s="1"/>
  <c r="A175" i="5"/>
  <c r="B175" i="5" s="1"/>
  <c r="A174" i="5"/>
  <c r="B174" i="5" s="1"/>
  <c r="A173" i="5"/>
  <c r="B173" i="5" s="1"/>
  <c r="A172" i="5"/>
  <c r="B172" i="5" s="1"/>
  <c r="A171" i="5"/>
  <c r="B171" i="5" s="1"/>
  <c r="A170" i="5"/>
  <c r="B170" i="5" s="1"/>
  <c r="A169" i="5"/>
  <c r="B169" i="5" s="1"/>
  <c r="A168" i="5"/>
  <c r="B168" i="5" s="1"/>
  <c r="A167" i="5"/>
  <c r="B167" i="5" s="1"/>
  <c r="A166" i="5"/>
  <c r="B166" i="5" s="1"/>
  <c r="A165" i="5"/>
  <c r="B165" i="5" s="1"/>
  <c r="A164" i="5"/>
  <c r="B164" i="5" s="1"/>
  <c r="A163" i="5"/>
  <c r="B163" i="5" s="1"/>
  <c r="A162" i="5"/>
  <c r="B162" i="5" s="1"/>
  <c r="A161" i="5"/>
  <c r="B161" i="5" s="1"/>
  <c r="A160" i="5"/>
  <c r="B160" i="5" s="1"/>
  <c r="A159" i="5"/>
  <c r="B159" i="5" s="1"/>
  <c r="A158" i="5"/>
  <c r="B158" i="5" s="1"/>
  <c r="A157" i="5"/>
  <c r="B157" i="5" s="1"/>
  <c r="A156" i="5"/>
  <c r="B156" i="5" s="1"/>
  <c r="A155" i="5"/>
  <c r="B155" i="5" s="1"/>
  <c r="A154" i="5"/>
  <c r="B154" i="5" s="1"/>
  <c r="A153" i="5"/>
  <c r="B153" i="5" s="1"/>
  <c r="A152" i="5"/>
  <c r="B152" i="5" s="1"/>
  <c r="A151" i="5"/>
  <c r="B151" i="5" s="1"/>
  <c r="A150" i="5"/>
  <c r="B150" i="5" s="1"/>
  <c r="A149" i="5"/>
  <c r="B149" i="5" s="1"/>
  <c r="A148" i="5"/>
  <c r="B148" i="5" s="1"/>
  <c r="A147" i="5"/>
  <c r="B147" i="5" s="1"/>
  <c r="A146" i="5"/>
  <c r="B146" i="5" s="1"/>
  <c r="A145" i="5"/>
  <c r="B145" i="5" s="1"/>
  <c r="A144" i="5"/>
  <c r="B144" i="5" s="1"/>
  <c r="A143" i="5"/>
  <c r="B143" i="5" s="1"/>
  <c r="A142" i="5"/>
  <c r="B142" i="5" s="1"/>
  <c r="A141" i="5"/>
  <c r="B141" i="5" s="1"/>
  <c r="A140" i="5"/>
  <c r="B140" i="5" s="1"/>
  <c r="A139" i="5"/>
  <c r="B139" i="5" s="1"/>
  <c r="A138" i="5"/>
  <c r="B138" i="5" s="1"/>
  <c r="A137" i="5"/>
  <c r="B137" i="5" s="1"/>
  <c r="A136" i="5"/>
  <c r="B136" i="5" s="1"/>
  <c r="A135" i="5"/>
  <c r="B135" i="5" s="1"/>
  <c r="A134" i="5"/>
  <c r="B134" i="5" s="1"/>
  <c r="A133" i="5"/>
  <c r="B133" i="5" s="1"/>
  <c r="A132" i="5"/>
  <c r="B132" i="5" s="1"/>
  <c r="A131" i="5"/>
  <c r="B131" i="5" s="1"/>
  <c r="A130" i="5"/>
  <c r="B130" i="5" s="1"/>
  <c r="A129" i="5"/>
  <c r="B129" i="5" s="1"/>
  <c r="A128" i="5"/>
  <c r="B128" i="5" s="1"/>
  <c r="A127" i="5"/>
  <c r="B127" i="5" s="1"/>
  <c r="A126" i="5"/>
  <c r="B126" i="5" s="1"/>
  <c r="A125" i="5"/>
  <c r="B125" i="5" s="1"/>
  <c r="A124" i="5"/>
  <c r="B124" i="5" s="1"/>
  <c r="A123" i="5"/>
  <c r="B123" i="5" s="1"/>
  <c r="F122" i="5"/>
  <c r="A122" i="5"/>
  <c r="B122" i="5" s="1"/>
  <c r="F121" i="5"/>
  <c r="A121" i="5"/>
  <c r="B121" i="5" s="1"/>
  <c r="F120" i="5"/>
  <c r="A120" i="5"/>
  <c r="B120" i="5" s="1"/>
  <c r="F119" i="5"/>
  <c r="A119" i="5"/>
  <c r="B119" i="5" s="1"/>
  <c r="F118" i="5"/>
  <c r="A118" i="5"/>
  <c r="B118" i="5" s="1"/>
  <c r="F117" i="5"/>
  <c r="A117" i="5"/>
  <c r="B117" i="5" s="1"/>
  <c r="A116" i="5"/>
  <c r="B116" i="5" s="1"/>
  <c r="A115" i="5"/>
  <c r="B115" i="5" s="1"/>
  <c r="A114" i="5"/>
  <c r="B114" i="5" s="1"/>
  <c r="A113" i="5"/>
  <c r="B113" i="5" s="1"/>
  <c r="A112" i="5"/>
  <c r="B112" i="5" s="1"/>
  <c r="A111" i="5"/>
  <c r="B111" i="5" s="1"/>
  <c r="A110" i="5"/>
  <c r="B110" i="5" s="1"/>
  <c r="A109" i="5"/>
  <c r="B109" i="5" s="1"/>
  <c r="A108" i="5"/>
  <c r="B108" i="5" s="1"/>
  <c r="A107" i="5"/>
  <c r="B107" i="5" s="1"/>
  <c r="A106" i="5"/>
  <c r="B106" i="5" s="1"/>
  <c r="A105" i="5"/>
  <c r="B105" i="5" s="1"/>
  <c r="F104" i="5"/>
  <c r="G104" i="5" s="1"/>
  <c r="A104" i="5"/>
  <c r="B104" i="5" s="1"/>
  <c r="F103" i="5"/>
  <c r="G103" i="5" s="1"/>
  <c r="A103" i="5"/>
  <c r="B103" i="5" s="1"/>
  <c r="F102" i="5"/>
  <c r="G102" i="5" s="1"/>
  <c r="A102" i="5"/>
  <c r="B102" i="5" s="1"/>
  <c r="F101" i="5"/>
  <c r="G101" i="5" s="1"/>
  <c r="A101" i="5"/>
  <c r="B101" i="5" s="1"/>
  <c r="F100" i="5"/>
  <c r="G100" i="5" s="1"/>
  <c r="A100" i="5"/>
  <c r="B100" i="5" s="1"/>
  <c r="F99" i="5"/>
  <c r="G99" i="5" s="1"/>
  <c r="A99" i="5"/>
  <c r="B99" i="5" s="1"/>
  <c r="F98" i="5"/>
  <c r="G98" i="5" s="1"/>
  <c r="A98" i="5"/>
  <c r="B98" i="5" s="1"/>
  <c r="F97" i="5"/>
  <c r="G97" i="5" s="1"/>
  <c r="A97" i="5"/>
  <c r="B97" i="5" s="1"/>
  <c r="F96" i="5"/>
  <c r="G96" i="5" s="1"/>
  <c r="A96" i="5"/>
  <c r="B96" i="5" s="1"/>
  <c r="F95" i="5"/>
  <c r="G95" i="5" s="1"/>
  <c r="A95" i="5"/>
  <c r="B95" i="5" s="1"/>
  <c r="F94" i="5"/>
  <c r="G94" i="5" s="1"/>
  <c r="A94" i="5"/>
  <c r="B94" i="5" s="1"/>
  <c r="F93" i="5"/>
  <c r="G93" i="5" s="1"/>
  <c r="A93" i="5"/>
  <c r="B93" i="5" s="1"/>
  <c r="F92" i="5"/>
  <c r="G92" i="5" s="1"/>
  <c r="A92" i="5"/>
  <c r="B92" i="5" s="1"/>
  <c r="F91" i="5"/>
  <c r="G91" i="5" s="1"/>
  <c r="A91" i="5"/>
  <c r="B91" i="5" s="1"/>
  <c r="F90" i="5"/>
  <c r="G90" i="5" s="1"/>
  <c r="A90" i="5"/>
  <c r="B90" i="5" s="1"/>
  <c r="A89" i="5"/>
  <c r="B89" i="5" s="1"/>
  <c r="A88" i="5"/>
  <c r="B88" i="5" s="1"/>
  <c r="F87" i="5"/>
  <c r="G87" i="5" s="1"/>
  <c r="A87" i="5"/>
  <c r="B87" i="5" s="1"/>
  <c r="F86" i="5"/>
  <c r="G86" i="5" s="1"/>
  <c r="A86" i="5"/>
  <c r="B86" i="5" s="1"/>
  <c r="F85" i="5"/>
  <c r="G85" i="5" s="1"/>
  <c r="A85" i="5"/>
  <c r="B85" i="5" s="1"/>
  <c r="F84" i="5"/>
  <c r="G84" i="5" s="1"/>
  <c r="A84" i="5"/>
  <c r="B84" i="5" s="1"/>
  <c r="F83" i="5"/>
  <c r="G83" i="5" s="1"/>
  <c r="A83" i="5"/>
  <c r="B83" i="5" s="1"/>
  <c r="F82" i="5"/>
  <c r="G82" i="5" s="1"/>
  <c r="A82" i="5"/>
  <c r="B82" i="5" s="1"/>
  <c r="F81" i="5"/>
  <c r="G81" i="5" s="1"/>
  <c r="A81" i="5"/>
  <c r="B81" i="5" s="1"/>
  <c r="F80" i="5"/>
  <c r="G80" i="5" s="1"/>
  <c r="A80" i="5"/>
  <c r="B80" i="5" s="1"/>
  <c r="F79" i="5"/>
  <c r="G79" i="5" s="1"/>
  <c r="A79" i="5"/>
  <c r="B79" i="5" s="1"/>
  <c r="F78" i="5"/>
  <c r="G78" i="5" s="1"/>
  <c r="A78" i="5"/>
  <c r="B78" i="5" s="1"/>
  <c r="F77" i="5"/>
  <c r="G77" i="5" s="1"/>
  <c r="A77" i="5"/>
  <c r="B77" i="5" s="1"/>
  <c r="F76" i="5"/>
  <c r="G76" i="5" s="1"/>
  <c r="A76" i="5"/>
  <c r="B76" i="5" s="1"/>
  <c r="F75" i="5"/>
  <c r="G75" i="5" s="1"/>
  <c r="A75" i="5"/>
  <c r="B75" i="5" s="1"/>
  <c r="F74" i="5"/>
  <c r="G74" i="5" s="1"/>
  <c r="A74" i="5"/>
  <c r="B74" i="5" s="1"/>
  <c r="F73" i="5"/>
  <c r="G73" i="5" s="1"/>
  <c r="A73" i="5"/>
  <c r="B73" i="5" s="1"/>
  <c r="F72" i="5"/>
  <c r="G72" i="5" s="1"/>
  <c r="A72" i="5"/>
  <c r="B72" i="5" s="1"/>
  <c r="F71" i="5"/>
  <c r="G71" i="5" s="1"/>
  <c r="A71" i="5"/>
  <c r="B71" i="5" s="1"/>
  <c r="F70" i="5"/>
  <c r="G70" i="5" s="1"/>
  <c r="A70" i="5"/>
  <c r="B70" i="5" s="1"/>
  <c r="F69" i="5"/>
  <c r="G69" i="5" s="1"/>
  <c r="A69" i="5"/>
  <c r="B69" i="5" s="1"/>
  <c r="F68" i="5"/>
  <c r="G68" i="5" s="1"/>
  <c r="A68" i="5"/>
  <c r="B68" i="5" s="1"/>
  <c r="F67" i="5"/>
  <c r="G67" i="5" s="1"/>
  <c r="A67" i="5"/>
  <c r="B67" i="5" s="1"/>
  <c r="F66" i="5"/>
  <c r="G66" i="5" s="1"/>
  <c r="A66" i="5"/>
  <c r="B66" i="5" s="1"/>
  <c r="F65" i="5"/>
  <c r="G65" i="5" s="1"/>
  <c r="A65" i="5"/>
  <c r="B65" i="5" s="1"/>
  <c r="F64" i="5"/>
  <c r="G64" i="5" s="1"/>
  <c r="A64" i="5"/>
  <c r="B64" i="5" s="1"/>
  <c r="F63" i="5"/>
  <c r="G63" i="5" s="1"/>
  <c r="A63" i="5"/>
  <c r="B63" i="5" s="1"/>
  <c r="F62" i="5"/>
  <c r="G62" i="5" s="1"/>
  <c r="A62" i="5"/>
  <c r="B62" i="5" s="1"/>
  <c r="F61" i="5"/>
  <c r="G61" i="5" s="1"/>
  <c r="A61" i="5"/>
  <c r="B61" i="5" s="1"/>
  <c r="F60" i="5"/>
  <c r="G60" i="5" s="1"/>
  <c r="A60" i="5"/>
  <c r="B60" i="5" s="1"/>
  <c r="F59" i="5"/>
  <c r="G59" i="5" s="1"/>
  <c r="A59" i="5"/>
  <c r="B59" i="5" s="1"/>
  <c r="F58" i="5"/>
  <c r="G58" i="5" s="1"/>
  <c r="A58" i="5"/>
  <c r="B58" i="5" s="1"/>
  <c r="F57" i="5"/>
  <c r="G57" i="5" s="1"/>
  <c r="A57" i="5"/>
  <c r="B57" i="5" s="1"/>
  <c r="F56" i="5"/>
  <c r="G56" i="5" s="1"/>
  <c r="A56" i="5"/>
  <c r="B56" i="5" s="1"/>
  <c r="F55" i="5"/>
  <c r="G55" i="5" s="1"/>
  <c r="A55" i="5"/>
  <c r="B55" i="5" s="1"/>
  <c r="F54" i="5"/>
  <c r="G54" i="5" s="1"/>
  <c r="A54" i="5"/>
  <c r="B54" i="5" s="1"/>
  <c r="F53" i="5"/>
  <c r="G53" i="5" s="1"/>
  <c r="A53" i="5"/>
  <c r="B53" i="5" s="1"/>
  <c r="F52" i="5"/>
  <c r="G52" i="5" s="1"/>
  <c r="A52" i="5"/>
  <c r="B52" i="5" s="1"/>
  <c r="F51" i="5"/>
  <c r="G51" i="5" s="1"/>
  <c r="A51" i="5"/>
  <c r="B51" i="5" s="1"/>
  <c r="F50" i="5"/>
  <c r="G50" i="5" s="1"/>
  <c r="A50" i="5"/>
  <c r="B50" i="5" s="1"/>
  <c r="F49" i="5"/>
  <c r="G49" i="5" s="1"/>
  <c r="A49" i="5"/>
  <c r="B49" i="5" s="1"/>
  <c r="F48" i="5"/>
  <c r="G48" i="5" s="1"/>
  <c r="A48" i="5"/>
  <c r="B48" i="5" s="1"/>
  <c r="F47" i="5"/>
  <c r="G47" i="5" s="1"/>
  <c r="A47" i="5"/>
  <c r="B47" i="5" s="1"/>
  <c r="F46" i="5"/>
  <c r="G46" i="5" s="1"/>
  <c r="A46" i="5"/>
  <c r="B46" i="5" s="1"/>
  <c r="F45" i="5"/>
  <c r="G45" i="5" s="1"/>
  <c r="A45" i="5"/>
  <c r="B45" i="5" s="1"/>
  <c r="F44" i="5"/>
  <c r="G44" i="5" s="1"/>
  <c r="A44" i="5"/>
  <c r="B44" i="5" s="1"/>
  <c r="F43" i="5"/>
  <c r="G43" i="5" s="1"/>
  <c r="A43" i="5"/>
  <c r="B43" i="5" s="1"/>
  <c r="F42" i="5"/>
  <c r="G42" i="5" s="1"/>
  <c r="A42" i="5"/>
  <c r="B42" i="5" s="1"/>
  <c r="F41" i="5"/>
  <c r="G41" i="5" s="1"/>
  <c r="A41" i="5"/>
  <c r="B41" i="5" s="1"/>
  <c r="F40" i="5"/>
  <c r="G40" i="5" s="1"/>
  <c r="A40" i="5"/>
  <c r="B40" i="5" s="1"/>
  <c r="F39" i="5"/>
  <c r="G39" i="5" s="1"/>
  <c r="A39" i="5"/>
  <c r="B39" i="5" s="1"/>
  <c r="F38" i="5"/>
  <c r="G38" i="5" s="1"/>
  <c r="A38" i="5"/>
  <c r="B38" i="5" s="1"/>
  <c r="A37" i="5"/>
  <c r="B37" i="5" s="1"/>
  <c r="A36" i="5"/>
  <c r="B36" i="5" s="1"/>
  <c r="G35" i="5"/>
  <c r="F35" i="5"/>
  <c r="A35" i="5"/>
  <c r="B35" i="5" s="1"/>
  <c r="G34" i="5"/>
  <c r="F34" i="5"/>
  <c r="A34" i="5"/>
  <c r="B34" i="5" s="1"/>
  <c r="G33" i="5"/>
  <c r="F33" i="5"/>
  <c r="A33" i="5"/>
  <c r="B33" i="5" s="1"/>
  <c r="F32" i="5"/>
  <c r="A32" i="5"/>
  <c r="B32" i="5" s="1"/>
  <c r="G31" i="5"/>
  <c r="F31" i="5"/>
  <c r="A31" i="5"/>
  <c r="B31" i="5" s="1"/>
  <c r="G30" i="5"/>
  <c r="F30" i="5"/>
  <c r="F29" i="5"/>
  <c r="A29" i="5"/>
  <c r="B29" i="5" s="1"/>
  <c r="D29" i="5" s="1"/>
  <c r="F28" i="5"/>
  <c r="A28" i="5"/>
  <c r="B28" i="5" s="1"/>
  <c r="D28" i="5" s="1"/>
  <c r="A27" i="5"/>
  <c r="B27" i="5" s="1"/>
  <c r="D27" i="5" s="1"/>
  <c r="A26" i="5"/>
  <c r="B26" i="5" s="1"/>
  <c r="D26" i="5" s="1"/>
  <c r="A25" i="5"/>
  <c r="B25" i="5" s="1"/>
  <c r="D25" i="5" s="1"/>
  <c r="A24" i="5"/>
  <c r="B24" i="5" s="1"/>
  <c r="D24" i="5" s="1"/>
  <c r="A22" i="5"/>
  <c r="B22" i="5" s="1"/>
  <c r="D22" i="5" s="1"/>
  <c r="A21" i="5"/>
  <c r="B21" i="5" s="1"/>
  <c r="D21" i="5" s="1"/>
  <c r="A20" i="5"/>
  <c r="B20" i="5" s="1"/>
  <c r="D20" i="5" s="1"/>
  <c r="A19" i="5"/>
  <c r="B19" i="5" s="1"/>
  <c r="D19" i="5" s="1"/>
  <c r="A18" i="5"/>
  <c r="B18" i="5" s="1"/>
  <c r="D18" i="5" s="1"/>
  <c r="A15" i="5"/>
  <c r="B15" i="5" s="1"/>
  <c r="G14" i="5"/>
  <c r="I14" i="5" s="1"/>
  <c r="A14" i="5"/>
  <c r="B14" i="5" s="1"/>
  <c r="G13" i="5"/>
  <c r="I13" i="5" s="1"/>
  <c r="A13" i="5"/>
  <c r="B13" i="5" s="1"/>
  <c r="G12" i="5"/>
  <c r="I12" i="5" s="1"/>
  <c r="A12" i="5"/>
  <c r="B12" i="5" s="1"/>
  <c r="G11" i="5"/>
  <c r="I11" i="5" s="1"/>
  <c r="A11" i="5"/>
  <c r="B11" i="5" s="1"/>
  <c r="G10" i="5"/>
  <c r="I10" i="5" s="1"/>
  <c r="A10" i="5"/>
  <c r="B10" i="5" s="1"/>
  <c r="A9" i="5"/>
  <c r="B9" i="5" s="1"/>
  <c r="A8" i="5"/>
  <c r="B8" i="5" s="1"/>
  <c r="G7" i="5"/>
  <c r="A7" i="5"/>
  <c r="B7" i="5" s="1"/>
  <c r="G6" i="5"/>
  <c r="A6" i="5"/>
  <c r="B6" i="5" s="1"/>
  <c r="A5" i="5"/>
  <c r="B5" i="5" s="1"/>
  <c r="A4" i="5"/>
  <c r="B4" i="5" s="1"/>
  <c r="G3" i="5"/>
  <c r="A3" i="5"/>
  <c r="B3" i="5" s="1"/>
  <c r="G2" i="5"/>
  <c r="A2" i="5"/>
  <c r="B2" i="5" s="1"/>
  <c r="K1" i="5"/>
  <c r="AY504" i="3"/>
  <c r="AX504" i="3"/>
  <c r="AJ504" i="3"/>
  <c r="L504" i="3"/>
  <c r="AY503" i="3"/>
  <c r="AX503" i="3"/>
  <c r="AJ503" i="3"/>
  <c r="L503" i="3"/>
  <c r="AY502" i="3"/>
  <c r="AX502" i="3"/>
  <c r="AJ502" i="3"/>
  <c r="L502" i="3"/>
  <c r="AY501" i="3"/>
  <c r="AX501" i="3"/>
  <c r="AJ501" i="3"/>
  <c r="L501" i="3"/>
  <c r="AY500" i="3"/>
  <c r="AX500" i="3"/>
  <c r="AJ500" i="3"/>
  <c r="L500" i="3"/>
  <c r="AY499" i="3"/>
  <c r="AX499" i="3"/>
  <c r="AJ499" i="3"/>
  <c r="L499" i="3"/>
  <c r="AY498" i="3"/>
  <c r="AX498" i="3"/>
  <c r="AJ498" i="3"/>
  <c r="L498" i="3"/>
  <c r="AY497" i="3"/>
  <c r="AX497" i="3"/>
  <c r="AJ497" i="3"/>
  <c r="L497" i="3"/>
  <c r="AY496" i="3"/>
  <c r="AX496" i="3"/>
  <c r="AJ496" i="3"/>
  <c r="L496" i="3"/>
  <c r="AY495" i="3"/>
  <c r="AX495" i="3"/>
  <c r="AJ495" i="3"/>
  <c r="L495" i="3"/>
  <c r="AY494" i="3"/>
  <c r="AX494" i="3"/>
  <c r="AJ494" i="3"/>
  <c r="AY493" i="3"/>
  <c r="AX493" i="3"/>
  <c r="AJ493" i="3"/>
  <c r="L493" i="3"/>
  <c r="AY492" i="3"/>
  <c r="AX492" i="3"/>
  <c r="AJ492" i="3"/>
  <c r="L492" i="3"/>
  <c r="AY491" i="3"/>
  <c r="AX491" i="3"/>
  <c r="AJ491" i="3"/>
  <c r="AY490" i="3"/>
  <c r="AX490" i="3"/>
  <c r="AJ490" i="3"/>
  <c r="L490" i="3"/>
  <c r="AY489" i="3"/>
  <c r="AX489" i="3"/>
  <c r="AJ489" i="3"/>
  <c r="L489" i="3"/>
  <c r="AY488" i="3"/>
  <c r="AX488" i="3"/>
  <c r="AJ488" i="3"/>
  <c r="L488" i="3"/>
  <c r="AY487" i="3"/>
  <c r="AX487" i="3"/>
  <c r="AJ487" i="3"/>
  <c r="L487" i="3"/>
  <c r="AY486" i="3"/>
  <c r="AX486" i="3"/>
  <c r="AJ486" i="3"/>
  <c r="L486" i="3"/>
  <c r="AY485" i="3"/>
  <c r="AX485" i="3"/>
  <c r="AJ485" i="3"/>
  <c r="L485" i="3"/>
  <c r="AY484" i="3"/>
  <c r="AX484" i="3"/>
  <c r="AJ484" i="3"/>
  <c r="L484" i="3"/>
  <c r="AY483" i="3"/>
  <c r="AX483" i="3"/>
  <c r="AJ483" i="3"/>
  <c r="L483" i="3"/>
  <c r="AY482" i="3"/>
  <c r="AX482" i="3"/>
  <c r="AJ482" i="3"/>
  <c r="L482" i="3"/>
  <c r="AY481" i="3"/>
  <c r="AX481" i="3"/>
  <c r="AJ481" i="3"/>
  <c r="L481" i="3"/>
  <c r="AY480" i="3"/>
  <c r="AX480" i="3"/>
  <c r="AJ480" i="3"/>
  <c r="L480" i="3"/>
  <c r="AY479" i="3"/>
  <c r="AX479" i="3"/>
  <c r="AJ479" i="3"/>
  <c r="L479" i="3"/>
  <c r="AY478" i="3"/>
  <c r="AX478" i="3"/>
  <c r="AJ478" i="3"/>
  <c r="L478" i="3"/>
  <c r="AY477" i="3"/>
  <c r="AX477" i="3"/>
  <c r="AJ477" i="3"/>
  <c r="L477" i="3"/>
  <c r="AY476" i="3"/>
  <c r="AX476" i="3"/>
  <c r="AJ476" i="3"/>
  <c r="L476" i="3"/>
  <c r="AY475" i="3"/>
  <c r="AX475" i="3"/>
  <c r="AJ475" i="3"/>
  <c r="L475" i="3"/>
  <c r="AY474" i="3"/>
  <c r="AX474" i="3"/>
  <c r="AJ474" i="3"/>
  <c r="L474" i="3"/>
  <c r="AY473" i="3"/>
  <c r="AX473" i="3"/>
  <c r="AJ473" i="3"/>
  <c r="L473" i="3"/>
  <c r="AY472" i="3"/>
  <c r="AX472" i="3"/>
  <c r="AJ472" i="3"/>
  <c r="L472" i="3"/>
  <c r="AY471" i="3"/>
  <c r="AX471" i="3"/>
  <c r="AJ471" i="3"/>
  <c r="L471" i="3"/>
  <c r="AY470" i="3"/>
  <c r="AX470" i="3"/>
  <c r="AJ470" i="3"/>
  <c r="L470" i="3"/>
  <c r="AY469" i="3"/>
  <c r="AX469" i="3"/>
  <c r="AJ469" i="3"/>
  <c r="L469" i="3"/>
  <c r="AY468" i="3"/>
  <c r="AX468" i="3"/>
  <c r="AJ468" i="3"/>
  <c r="L468" i="3"/>
  <c r="AY467" i="3"/>
  <c r="AX467" i="3"/>
  <c r="AJ467" i="3"/>
  <c r="L467" i="3"/>
  <c r="AY466" i="3"/>
  <c r="AX466" i="3"/>
  <c r="AJ466" i="3"/>
  <c r="L466" i="3"/>
  <c r="AY465" i="3"/>
  <c r="AX465" i="3"/>
  <c r="AJ465" i="3"/>
  <c r="L465" i="3"/>
  <c r="AY464" i="3"/>
  <c r="AX464" i="3"/>
  <c r="AJ464" i="3"/>
  <c r="L464" i="3"/>
  <c r="AY463" i="3"/>
  <c r="AX463" i="3"/>
  <c r="AJ463" i="3"/>
  <c r="L463" i="3"/>
  <c r="AY462" i="3"/>
  <c r="AX462" i="3"/>
  <c r="AJ462" i="3"/>
  <c r="L462" i="3"/>
  <c r="AY461" i="3"/>
  <c r="AX461" i="3"/>
  <c r="AJ461" i="3"/>
  <c r="L461" i="3"/>
  <c r="AY460" i="3"/>
  <c r="AX460" i="3"/>
  <c r="AJ460" i="3"/>
  <c r="L460" i="3"/>
  <c r="AY459" i="3"/>
  <c r="AX459" i="3"/>
  <c r="AJ459" i="3"/>
  <c r="L459" i="3"/>
  <c r="AY458" i="3"/>
  <c r="AX458" i="3"/>
  <c r="AJ458" i="3"/>
  <c r="L458" i="3"/>
  <c r="AY457" i="3"/>
  <c r="AX457" i="3"/>
  <c r="AJ457" i="3"/>
  <c r="L457" i="3"/>
  <c r="AY456" i="3"/>
  <c r="AX456" i="3"/>
  <c r="AJ456" i="3"/>
  <c r="L456" i="3"/>
  <c r="AY455" i="3"/>
  <c r="AX455" i="3"/>
  <c r="AJ455" i="3"/>
  <c r="L455" i="3"/>
  <c r="AY454" i="3"/>
  <c r="AX454" i="3"/>
  <c r="AJ454" i="3"/>
  <c r="L454" i="3"/>
  <c r="AY453" i="3"/>
  <c r="AX453" i="3"/>
  <c r="AJ453" i="3"/>
  <c r="L453" i="3"/>
  <c r="AY452" i="3"/>
  <c r="AX452" i="3"/>
  <c r="AJ452" i="3"/>
  <c r="L452" i="3"/>
  <c r="AY451" i="3"/>
  <c r="AX451" i="3"/>
  <c r="AJ451" i="3"/>
  <c r="L451" i="3"/>
  <c r="AY450" i="3"/>
  <c r="AX450" i="3"/>
  <c r="AJ450" i="3"/>
  <c r="L450" i="3"/>
  <c r="AY449" i="3"/>
  <c r="AX449" i="3"/>
  <c r="AJ449" i="3"/>
  <c r="L449" i="3"/>
  <c r="AY448" i="3"/>
  <c r="AX448" i="3"/>
  <c r="AJ448" i="3"/>
  <c r="L448" i="3"/>
  <c r="AY447" i="3"/>
  <c r="AX447" i="3"/>
  <c r="AJ447" i="3"/>
  <c r="L447" i="3"/>
  <c r="AY446" i="3"/>
  <c r="AX446" i="3"/>
  <c r="AJ446" i="3"/>
  <c r="L446" i="3"/>
  <c r="AY445" i="3"/>
  <c r="AX445" i="3"/>
  <c r="AJ445" i="3"/>
  <c r="L445" i="3"/>
  <c r="AY444" i="3"/>
  <c r="AX444" i="3"/>
  <c r="AJ444" i="3"/>
  <c r="L444" i="3"/>
  <c r="AY443" i="3"/>
  <c r="AX443" i="3"/>
  <c r="AJ443" i="3"/>
  <c r="L443" i="3"/>
  <c r="AY442" i="3"/>
  <c r="AX442" i="3"/>
  <c r="AJ442" i="3"/>
  <c r="L442" i="3"/>
  <c r="AY441" i="3"/>
  <c r="AX441" i="3"/>
  <c r="AJ441" i="3"/>
  <c r="L441" i="3"/>
  <c r="AY440" i="3"/>
  <c r="AX440" i="3"/>
  <c r="AJ440" i="3"/>
  <c r="L440" i="3"/>
  <c r="AY439" i="3"/>
  <c r="AX439" i="3"/>
  <c r="AJ439" i="3"/>
  <c r="L439" i="3"/>
  <c r="AY438" i="3"/>
  <c r="AX438" i="3"/>
  <c r="AJ438" i="3"/>
  <c r="L438" i="3"/>
  <c r="AY437" i="3"/>
  <c r="AX437" i="3"/>
  <c r="AJ437" i="3"/>
  <c r="L437" i="3"/>
  <c r="AY436" i="3"/>
  <c r="AX436" i="3"/>
  <c r="AJ436" i="3"/>
  <c r="L436" i="3"/>
  <c r="AY435" i="3"/>
  <c r="AX435" i="3"/>
  <c r="AJ435" i="3"/>
  <c r="L435" i="3"/>
  <c r="AY434" i="3"/>
  <c r="AX434" i="3"/>
  <c r="AJ434" i="3"/>
  <c r="L434" i="3"/>
  <c r="AY433" i="3"/>
  <c r="AX433" i="3"/>
  <c r="AJ433" i="3"/>
  <c r="L433" i="3"/>
  <c r="AY432" i="3"/>
  <c r="AX432" i="3"/>
  <c r="AJ432" i="3"/>
  <c r="L432" i="3"/>
  <c r="AY431" i="3"/>
  <c r="AX431" i="3"/>
  <c r="AJ431" i="3"/>
  <c r="L431" i="3"/>
  <c r="AY430" i="3"/>
  <c r="AX430" i="3"/>
  <c r="AJ430" i="3"/>
  <c r="L430" i="3"/>
  <c r="AY429" i="3"/>
  <c r="AX429" i="3"/>
  <c r="AJ429" i="3"/>
  <c r="L429" i="3"/>
  <c r="AY428" i="3"/>
  <c r="AX428" i="3"/>
  <c r="AJ428" i="3"/>
  <c r="L428" i="3"/>
  <c r="AY427" i="3"/>
  <c r="AX427" i="3"/>
  <c r="AJ427" i="3"/>
  <c r="L427" i="3"/>
  <c r="AY426" i="3"/>
  <c r="AX426" i="3"/>
  <c r="AJ426" i="3"/>
  <c r="L426" i="3"/>
  <c r="AY425" i="3"/>
  <c r="AX425" i="3"/>
  <c r="AJ425" i="3"/>
  <c r="L425" i="3"/>
  <c r="AY424" i="3"/>
  <c r="AX424" i="3"/>
  <c r="AJ424" i="3"/>
  <c r="L424" i="3"/>
  <c r="AY423" i="3"/>
  <c r="AX423" i="3"/>
  <c r="AJ423" i="3"/>
  <c r="L423" i="3"/>
  <c r="AY422" i="3"/>
  <c r="AX422" i="3"/>
  <c r="AJ422" i="3"/>
  <c r="L422" i="3"/>
  <c r="AY421" i="3"/>
  <c r="AX421" i="3"/>
  <c r="AJ421" i="3"/>
  <c r="L421" i="3"/>
  <c r="AY420" i="3"/>
  <c r="AX420" i="3"/>
  <c r="AJ420" i="3"/>
  <c r="L420" i="3"/>
  <c r="AY419" i="3"/>
  <c r="AX419" i="3"/>
  <c r="AJ419" i="3"/>
  <c r="L419" i="3"/>
  <c r="AY418" i="3"/>
  <c r="AX418" i="3"/>
  <c r="AJ418" i="3"/>
  <c r="L418" i="3"/>
  <c r="AY417" i="3"/>
  <c r="AX417" i="3"/>
  <c r="AJ417" i="3"/>
  <c r="L417" i="3"/>
  <c r="AY416" i="3"/>
  <c r="AX416" i="3"/>
  <c r="AJ416" i="3"/>
  <c r="L416" i="3"/>
  <c r="AY415" i="3"/>
  <c r="AX415" i="3"/>
  <c r="AJ415" i="3"/>
  <c r="L415" i="3"/>
  <c r="AY414" i="3"/>
  <c r="AX414" i="3"/>
  <c r="AJ414" i="3"/>
  <c r="L414" i="3"/>
  <c r="AY413" i="3"/>
  <c r="AX413" i="3"/>
  <c r="AJ413" i="3"/>
  <c r="L413" i="3"/>
  <c r="AY412" i="3"/>
  <c r="AX412" i="3"/>
  <c r="AJ412" i="3"/>
  <c r="L412" i="3"/>
  <c r="AY411" i="3"/>
  <c r="AX411" i="3"/>
  <c r="AJ411" i="3"/>
  <c r="L411" i="3"/>
  <c r="AY410" i="3"/>
  <c r="AX410" i="3"/>
  <c r="AJ410" i="3"/>
  <c r="L410" i="3"/>
  <c r="AY409" i="3"/>
  <c r="AX409" i="3"/>
  <c r="AJ409" i="3"/>
  <c r="L409" i="3"/>
  <c r="AY408" i="3"/>
  <c r="AX408" i="3"/>
  <c r="AJ408" i="3"/>
  <c r="L408" i="3"/>
  <c r="AY407" i="3"/>
  <c r="AX407" i="3"/>
  <c r="AJ407" i="3"/>
  <c r="L407" i="3"/>
  <c r="AY406" i="3"/>
  <c r="AX406" i="3"/>
  <c r="AJ406" i="3"/>
  <c r="L406" i="3"/>
  <c r="AY405" i="3"/>
  <c r="AX405" i="3"/>
  <c r="AJ405" i="3"/>
  <c r="L405" i="3"/>
  <c r="AY404" i="3"/>
  <c r="AX404" i="3"/>
  <c r="AJ404" i="3"/>
  <c r="L404" i="3"/>
  <c r="AY403" i="3"/>
  <c r="AX403" i="3"/>
  <c r="AJ403" i="3"/>
  <c r="L403" i="3"/>
  <c r="AY402" i="3"/>
  <c r="AX402" i="3"/>
  <c r="AJ402" i="3"/>
  <c r="L402" i="3"/>
  <c r="AY401" i="3"/>
  <c r="AX401" i="3"/>
  <c r="AJ401" i="3"/>
  <c r="L401" i="3"/>
  <c r="AY400" i="3"/>
  <c r="AX400" i="3"/>
  <c r="AJ400" i="3"/>
  <c r="L400" i="3"/>
  <c r="AY399" i="3"/>
  <c r="AX399" i="3"/>
  <c r="AJ399" i="3"/>
  <c r="L399" i="3"/>
  <c r="AY398" i="3"/>
  <c r="AX398" i="3"/>
  <c r="AJ398" i="3"/>
  <c r="L398" i="3"/>
  <c r="AY397" i="3"/>
  <c r="AX397" i="3"/>
  <c r="AJ397" i="3"/>
  <c r="L397" i="3"/>
  <c r="AY396" i="3"/>
  <c r="AX396" i="3"/>
  <c r="AJ396" i="3"/>
  <c r="L396" i="3"/>
  <c r="AY395" i="3"/>
  <c r="AX395" i="3"/>
  <c r="AJ395" i="3"/>
  <c r="L395" i="3"/>
  <c r="AY394" i="3"/>
  <c r="AX394" i="3"/>
  <c r="AJ394" i="3"/>
  <c r="L394" i="3"/>
  <c r="AY393" i="3"/>
  <c r="AX393" i="3"/>
  <c r="AJ393" i="3"/>
  <c r="L393" i="3"/>
  <c r="AY392" i="3"/>
  <c r="AX392" i="3"/>
  <c r="AJ392" i="3"/>
  <c r="L392" i="3"/>
  <c r="AY391" i="3"/>
  <c r="AX391" i="3"/>
  <c r="AJ391" i="3"/>
  <c r="L391" i="3"/>
  <c r="AY390" i="3"/>
  <c r="AX390" i="3"/>
  <c r="AJ390" i="3"/>
  <c r="L390" i="3"/>
  <c r="AY389" i="3"/>
  <c r="AX389" i="3"/>
  <c r="AJ389" i="3"/>
  <c r="L389" i="3"/>
  <c r="AY388" i="3"/>
  <c r="AX388" i="3"/>
  <c r="AJ388" i="3"/>
  <c r="L388" i="3"/>
  <c r="AY387" i="3"/>
  <c r="AX387" i="3"/>
  <c r="AJ387" i="3"/>
  <c r="L387" i="3"/>
  <c r="AY386" i="3"/>
  <c r="AX386" i="3"/>
  <c r="AJ386" i="3"/>
  <c r="L386" i="3"/>
  <c r="AY385" i="3"/>
  <c r="AX385" i="3"/>
  <c r="AJ385" i="3"/>
  <c r="L385" i="3"/>
  <c r="AY384" i="3"/>
  <c r="AX384" i="3"/>
  <c r="AJ384" i="3"/>
  <c r="L384" i="3"/>
  <c r="AY383" i="3"/>
  <c r="AX383" i="3"/>
  <c r="AJ383" i="3"/>
  <c r="L383" i="3"/>
  <c r="AY382" i="3"/>
  <c r="AX382" i="3"/>
  <c r="AJ382" i="3"/>
  <c r="L382" i="3"/>
  <c r="AY381" i="3"/>
  <c r="AX381" i="3"/>
  <c r="AJ381" i="3"/>
  <c r="L381" i="3"/>
  <c r="AY380" i="3"/>
  <c r="AX380" i="3"/>
  <c r="AJ380" i="3"/>
  <c r="L380" i="3"/>
  <c r="AY379" i="3"/>
  <c r="AX379" i="3"/>
  <c r="AJ379" i="3"/>
  <c r="L379" i="3"/>
  <c r="AY378" i="3"/>
  <c r="AX378" i="3"/>
  <c r="AJ378" i="3"/>
  <c r="L378" i="3"/>
  <c r="AY377" i="3"/>
  <c r="AX377" i="3"/>
  <c r="AJ377" i="3"/>
  <c r="L377" i="3"/>
  <c r="AY376" i="3"/>
  <c r="AX376" i="3"/>
  <c r="AJ376" i="3"/>
  <c r="L376" i="3"/>
  <c r="AY375" i="3"/>
  <c r="AX375" i="3"/>
  <c r="AJ375" i="3"/>
  <c r="L375" i="3"/>
  <c r="AY374" i="3"/>
  <c r="AX374" i="3"/>
  <c r="AJ374" i="3"/>
  <c r="L374" i="3"/>
  <c r="AY373" i="3"/>
  <c r="AX373" i="3"/>
  <c r="AJ373" i="3"/>
  <c r="L373" i="3"/>
  <c r="AY372" i="3"/>
  <c r="AX372" i="3"/>
  <c r="AJ372" i="3"/>
  <c r="L372" i="3"/>
  <c r="AY371" i="3"/>
  <c r="AX371" i="3"/>
  <c r="AJ371" i="3"/>
  <c r="L371" i="3"/>
  <c r="AY370" i="3"/>
  <c r="AX370" i="3"/>
  <c r="AJ370" i="3"/>
  <c r="L370" i="3"/>
  <c r="AY369" i="3"/>
  <c r="AX369" i="3"/>
  <c r="AJ369" i="3"/>
  <c r="L369" i="3"/>
  <c r="AY368" i="3"/>
  <c r="AX368" i="3"/>
  <c r="AJ368" i="3"/>
  <c r="L368" i="3"/>
  <c r="AY367" i="3"/>
  <c r="AX367" i="3"/>
  <c r="AJ367" i="3"/>
  <c r="L367" i="3"/>
  <c r="AY366" i="3"/>
  <c r="AX366" i="3"/>
  <c r="AJ366" i="3"/>
  <c r="L366" i="3"/>
  <c r="AY365" i="3"/>
  <c r="AX365" i="3"/>
  <c r="AJ365" i="3"/>
  <c r="L365" i="3"/>
  <c r="AY364" i="3"/>
  <c r="AX364" i="3"/>
  <c r="AJ364" i="3"/>
  <c r="L364" i="3"/>
  <c r="AY363" i="3"/>
  <c r="AX363" i="3"/>
  <c r="AJ363" i="3"/>
  <c r="L363" i="3"/>
  <c r="AY362" i="3"/>
  <c r="AX362" i="3"/>
  <c r="AJ362" i="3"/>
  <c r="L362" i="3"/>
  <c r="AY361" i="3"/>
  <c r="AX361" i="3"/>
  <c r="AJ361" i="3"/>
  <c r="L361" i="3"/>
  <c r="AY360" i="3"/>
  <c r="AX360" i="3"/>
  <c r="AJ360" i="3"/>
  <c r="L360" i="3"/>
  <c r="AY359" i="3"/>
  <c r="AX359" i="3"/>
  <c r="AJ359" i="3"/>
  <c r="L359" i="3"/>
  <c r="AY358" i="3"/>
  <c r="AX358" i="3"/>
  <c r="AJ358" i="3"/>
  <c r="L358" i="3"/>
  <c r="AY357" i="3"/>
  <c r="AX357" i="3"/>
  <c r="AJ357" i="3"/>
  <c r="L357" i="3"/>
  <c r="AY356" i="3"/>
  <c r="AX356" i="3"/>
  <c r="AJ356" i="3"/>
  <c r="L356" i="3"/>
  <c r="AY355" i="3"/>
  <c r="AX355" i="3"/>
  <c r="AJ355" i="3"/>
  <c r="L355" i="3"/>
  <c r="AY354" i="3"/>
  <c r="AX354" i="3"/>
  <c r="AJ354" i="3"/>
  <c r="L354" i="3"/>
  <c r="AY353" i="3"/>
  <c r="AX353" i="3"/>
  <c r="AJ353" i="3"/>
  <c r="L353" i="3"/>
  <c r="AY352" i="3"/>
  <c r="AX352" i="3"/>
  <c r="AJ352" i="3"/>
  <c r="L352" i="3"/>
  <c r="AY351" i="3"/>
  <c r="AX351" i="3"/>
  <c r="AJ351" i="3"/>
  <c r="L351" i="3"/>
  <c r="AY350" i="3"/>
  <c r="AX350" i="3"/>
  <c r="AJ350" i="3"/>
  <c r="L350" i="3"/>
  <c r="AY349" i="3"/>
  <c r="AX349" i="3"/>
  <c r="AJ349" i="3"/>
  <c r="L349" i="3"/>
  <c r="AY348" i="3"/>
  <c r="AX348" i="3"/>
  <c r="AJ348" i="3"/>
  <c r="L348" i="3"/>
  <c r="AY347" i="3"/>
  <c r="AX347" i="3"/>
  <c r="AJ347" i="3"/>
  <c r="L347" i="3"/>
  <c r="AY346" i="3"/>
  <c r="AX346" i="3"/>
  <c r="AJ346" i="3"/>
  <c r="L346" i="3"/>
  <c r="AY345" i="3"/>
  <c r="AX345" i="3"/>
  <c r="AJ345" i="3"/>
  <c r="L345" i="3"/>
  <c r="AY344" i="3"/>
  <c r="AX344" i="3"/>
  <c r="AJ344" i="3"/>
  <c r="L344" i="3"/>
  <c r="AY343" i="3"/>
  <c r="AX343" i="3"/>
  <c r="AJ343" i="3"/>
  <c r="L343" i="3"/>
  <c r="AY342" i="3"/>
  <c r="AX342" i="3"/>
  <c r="AJ342" i="3"/>
  <c r="L342" i="3"/>
  <c r="AY341" i="3"/>
  <c r="AX341" i="3"/>
  <c r="AJ341" i="3"/>
  <c r="L341" i="3"/>
  <c r="AY340" i="3"/>
  <c r="AX340" i="3"/>
  <c r="AJ340" i="3"/>
  <c r="L340" i="3"/>
  <c r="AY339" i="3"/>
  <c r="AX339" i="3"/>
  <c r="AJ339" i="3"/>
  <c r="L339" i="3"/>
  <c r="AY338" i="3"/>
  <c r="AX338" i="3"/>
  <c r="AJ338" i="3"/>
  <c r="L338" i="3"/>
  <c r="AY337" i="3"/>
  <c r="AX337" i="3"/>
  <c r="AJ337" i="3"/>
  <c r="L337" i="3"/>
  <c r="AY336" i="3"/>
  <c r="AX336" i="3"/>
  <c r="AJ336" i="3"/>
  <c r="L336" i="3"/>
  <c r="AY335" i="3"/>
  <c r="AX335" i="3"/>
  <c r="AJ335" i="3"/>
  <c r="L335" i="3"/>
  <c r="AY334" i="3"/>
  <c r="AX334" i="3"/>
  <c r="AJ334" i="3"/>
  <c r="L334" i="3"/>
  <c r="AY333" i="3"/>
  <c r="AX333" i="3"/>
  <c r="AJ333" i="3"/>
  <c r="L333" i="3"/>
  <c r="AY332" i="3"/>
  <c r="AX332" i="3"/>
  <c r="AJ332" i="3"/>
  <c r="L332" i="3"/>
  <c r="AY331" i="3"/>
  <c r="AX331" i="3"/>
  <c r="AJ331" i="3"/>
  <c r="L331" i="3"/>
  <c r="AY330" i="3"/>
  <c r="AX330" i="3"/>
  <c r="AJ330" i="3"/>
  <c r="L330" i="3"/>
  <c r="AY329" i="3"/>
  <c r="AX329" i="3"/>
  <c r="AJ329" i="3"/>
  <c r="L329" i="3"/>
  <c r="AY328" i="3"/>
  <c r="AX328" i="3"/>
  <c r="AJ328" i="3"/>
  <c r="L328" i="3"/>
  <c r="AY327" i="3"/>
  <c r="AX327" i="3"/>
  <c r="AJ327" i="3"/>
  <c r="L327" i="3"/>
  <c r="AY326" i="3"/>
  <c r="AX326" i="3"/>
  <c r="AJ326" i="3"/>
  <c r="L326" i="3"/>
  <c r="AY325" i="3"/>
  <c r="AX325" i="3"/>
  <c r="AJ325" i="3"/>
  <c r="L325" i="3"/>
  <c r="AY324" i="3"/>
  <c r="AX324" i="3"/>
  <c r="AJ324" i="3"/>
  <c r="L324" i="3"/>
  <c r="AY323" i="3"/>
  <c r="AX323" i="3"/>
  <c r="AJ323" i="3"/>
  <c r="L323" i="3"/>
  <c r="AY322" i="3"/>
  <c r="AX322" i="3"/>
  <c r="AJ322" i="3"/>
  <c r="L322" i="3"/>
  <c r="AY321" i="3"/>
  <c r="AX321" i="3"/>
  <c r="AJ321" i="3"/>
  <c r="L321" i="3"/>
  <c r="AY320" i="3"/>
  <c r="AX320" i="3"/>
  <c r="AJ320" i="3"/>
  <c r="L320" i="3"/>
  <c r="AY319" i="3"/>
  <c r="AX319" i="3"/>
  <c r="AJ319" i="3"/>
  <c r="L319" i="3"/>
  <c r="AY318" i="3"/>
  <c r="AX318" i="3"/>
  <c r="AJ318" i="3"/>
  <c r="L318" i="3"/>
  <c r="AY317" i="3"/>
  <c r="AX317" i="3"/>
  <c r="AJ317" i="3"/>
  <c r="L317" i="3"/>
  <c r="AY316" i="3"/>
  <c r="AX316" i="3"/>
  <c r="AJ316" i="3"/>
  <c r="L316" i="3"/>
  <c r="AY315" i="3"/>
  <c r="AX315" i="3"/>
  <c r="AJ315" i="3"/>
  <c r="L315" i="3"/>
  <c r="AY314" i="3"/>
  <c r="AX314" i="3"/>
  <c r="AJ314" i="3"/>
  <c r="L314" i="3"/>
  <c r="AY313" i="3"/>
  <c r="AX313" i="3"/>
  <c r="AJ313" i="3"/>
  <c r="L313" i="3"/>
  <c r="AY312" i="3"/>
  <c r="AX312" i="3"/>
  <c r="AJ312" i="3"/>
  <c r="L312" i="3"/>
  <c r="AY311" i="3"/>
  <c r="AX311" i="3"/>
  <c r="AJ311" i="3"/>
  <c r="L311" i="3"/>
  <c r="AY310" i="3"/>
  <c r="AX310" i="3"/>
  <c r="AJ310" i="3"/>
  <c r="L310" i="3"/>
  <c r="AY309" i="3"/>
  <c r="AX309" i="3"/>
  <c r="AJ309" i="3"/>
  <c r="L309" i="3"/>
  <c r="AY308" i="3"/>
  <c r="AX308" i="3"/>
  <c r="AJ308" i="3"/>
  <c r="L308" i="3"/>
  <c r="AY307" i="3"/>
  <c r="AX307" i="3"/>
  <c r="AJ307" i="3"/>
  <c r="L307" i="3"/>
  <c r="AY306" i="3"/>
  <c r="AX306" i="3"/>
  <c r="AJ306" i="3"/>
  <c r="L306" i="3"/>
  <c r="AY305" i="3"/>
  <c r="AX305" i="3"/>
  <c r="AJ305" i="3"/>
  <c r="L305" i="3"/>
  <c r="AY304" i="3"/>
  <c r="AX304" i="3"/>
  <c r="AJ304" i="3"/>
  <c r="L304" i="3"/>
  <c r="AY303" i="3"/>
  <c r="AX303" i="3"/>
  <c r="AJ303" i="3"/>
  <c r="L303" i="3"/>
  <c r="AY302" i="3"/>
  <c r="AX302" i="3"/>
  <c r="AJ302" i="3"/>
  <c r="L302" i="3"/>
  <c r="AY301" i="3"/>
  <c r="AX301" i="3"/>
  <c r="AJ301" i="3"/>
  <c r="L301" i="3"/>
  <c r="AY300" i="3"/>
  <c r="AX300" i="3"/>
  <c r="AJ300" i="3"/>
  <c r="L300" i="3"/>
  <c r="AY299" i="3"/>
  <c r="AX299" i="3"/>
  <c r="AJ299" i="3"/>
  <c r="L299" i="3"/>
  <c r="AY298" i="3"/>
  <c r="AX298" i="3"/>
  <c r="AJ298" i="3"/>
  <c r="L298" i="3"/>
  <c r="AY297" i="3"/>
  <c r="AX297" i="3"/>
  <c r="AJ297" i="3"/>
  <c r="L297" i="3"/>
  <c r="AY296" i="3"/>
  <c r="AX296" i="3"/>
  <c r="AJ296" i="3"/>
  <c r="L296" i="3"/>
  <c r="AY295" i="3"/>
  <c r="AX295" i="3"/>
  <c r="AJ295" i="3"/>
  <c r="L295" i="3"/>
  <c r="AY294" i="3"/>
  <c r="AX294" i="3"/>
  <c r="AJ294" i="3"/>
  <c r="L294" i="3"/>
  <c r="AY293" i="3"/>
  <c r="AX293" i="3"/>
  <c r="AJ293" i="3"/>
  <c r="L293" i="3"/>
  <c r="AY292" i="3"/>
  <c r="AX292" i="3"/>
  <c r="AJ292" i="3"/>
  <c r="L292" i="3"/>
  <c r="AY291" i="3"/>
  <c r="AX291" i="3"/>
  <c r="AJ291" i="3"/>
  <c r="L291" i="3"/>
  <c r="AY290" i="3"/>
  <c r="AX290" i="3"/>
  <c r="AJ290" i="3"/>
  <c r="L290" i="3"/>
  <c r="AY289" i="3"/>
  <c r="AX289" i="3"/>
  <c r="AJ289" i="3"/>
  <c r="L289" i="3"/>
  <c r="AY288" i="3"/>
  <c r="AX288" i="3"/>
  <c r="AJ288" i="3"/>
  <c r="L288" i="3"/>
  <c r="AY287" i="3"/>
  <c r="AX287" i="3"/>
  <c r="AJ287" i="3"/>
  <c r="L287" i="3"/>
  <c r="AY286" i="3"/>
  <c r="AX286" i="3"/>
  <c r="AJ286" i="3"/>
  <c r="L286" i="3"/>
  <c r="AY285" i="3"/>
  <c r="AX285" i="3"/>
  <c r="AJ285" i="3"/>
  <c r="L285" i="3"/>
  <c r="AY284" i="3"/>
  <c r="AX284" i="3"/>
  <c r="AJ284" i="3"/>
  <c r="L284" i="3"/>
  <c r="AY283" i="3"/>
  <c r="AX283" i="3"/>
  <c r="AJ283" i="3"/>
  <c r="L283" i="3"/>
  <c r="AY282" i="3"/>
  <c r="AX282" i="3"/>
  <c r="AJ282" i="3"/>
  <c r="L282" i="3"/>
  <c r="AY281" i="3"/>
  <c r="AX281" i="3"/>
  <c r="AJ281" i="3"/>
  <c r="L281" i="3"/>
  <c r="AY280" i="3"/>
  <c r="AX280" i="3"/>
  <c r="AJ280" i="3"/>
  <c r="L280" i="3"/>
  <c r="AY279" i="3"/>
  <c r="AX279" i="3"/>
  <c r="AJ279" i="3"/>
  <c r="L279" i="3"/>
  <c r="AY278" i="3"/>
  <c r="AX278" i="3"/>
  <c r="AJ278" i="3"/>
  <c r="L278" i="3"/>
  <c r="AY277" i="3"/>
  <c r="AX277" i="3"/>
  <c r="AJ277" i="3"/>
  <c r="L277" i="3"/>
  <c r="AY276" i="3"/>
  <c r="AX276" i="3"/>
  <c r="AJ276" i="3"/>
  <c r="L276" i="3"/>
  <c r="AY275" i="3"/>
  <c r="AX275" i="3"/>
  <c r="AJ275" i="3"/>
  <c r="L275" i="3"/>
  <c r="AY274" i="3"/>
  <c r="AX274" i="3"/>
  <c r="AJ274" i="3"/>
  <c r="L274" i="3"/>
  <c r="AY273" i="3"/>
  <c r="AX273" i="3"/>
  <c r="AJ273" i="3"/>
  <c r="L273" i="3"/>
  <c r="AY272" i="3"/>
  <c r="AX272" i="3"/>
  <c r="AJ272" i="3"/>
  <c r="L272" i="3"/>
  <c r="AY271" i="3"/>
  <c r="AX271" i="3"/>
  <c r="AJ271" i="3"/>
  <c r="L271" i="3"/>
  <c r="AY270" i="3"/>
  <c r="AX270" i="3"/>
  <c r="AJ270" i="3"/>
  <c r="L270" i="3"/>
  <c r="AY269" i="3"/>
  <c r="AX269" i="3"/>
  <c r="AJ269" i="3"/>
  <c r="L269" i="3"/>
  <c r="AY268" i="3"/>
  <c r="AX268" i="3"/>
  <c r="AJ268" i="3"/>
  <c r="L268" i="3"/>
  <c r="AY267" i="3"/>
  <c r="AX267" i="3"/>
  <c r="AJ267" i="3"/>
  <c r="L267" i="3"/>
  <c r="AY266" i="3"/>
  <c r="AX266" i="3"/>
  <c r="AJ266" i="3"/>
  <c r="L266" i="3"/>
  <c r="AY265" i="3"/>
  <c r="AX265" i="3"/>
  <c r="AJ265" i="3"/>
  <c r="L265" i="3"/>
  <c r="AY264" i="3"/>
  <c r="AX264" i="3"/>
  <c r="AJ264" i="3"/>
  <c r="L264" i="3"/>
  <c r="AY263" i="3"/>
  <c r="AX263" i="3"/>
  <c r="AJ263" i="3"/>
  <c r="L263" i="3"/>
  <c r="AY262" i="3"/>
  <c r="AX262" i="3"/>
  <c r="AJ262" i="3"/>
  <c r="L262" i="3"/>
  <c r="AY261" i="3"/>
  <c r="AX261" i="3"/>
  <c r="AJ261" i="3"/>
  <c r="L261" i="3"/>
  <c r="AY260" i="3"/>
  <c r="AX260" i="3"/>
  <c r="AJ260" i="3"/>
  <c r="L260" i="3"/>
  <c r="AY259" i="3"/>
  <c r="AX259" i="3"/>
  <c r="AJ259" i="3"/>
  <c r="L259" i="3"/>
  <c r="AY258" i="3"/>
  <c r="AX258" i="3"/>
  <c r="AJ258" i="3"/>
  <c r="L258" i="3"/>
  <c r="AY257" i="3"/>
  <c r="AX257" i="3"/>
  <c r="AJ257" i="3"/>
  <c r="L257" i="3"/>
  <c r="AY256" i="3"/>
  <c r="AX256" i="3"/>
  <c r="AJ256" i="3"/>
  <c r="L256" i="3"/>
  <c r="AY255" i="3"/>
  <c r="AX255" i="3"/>
  <c r="AJ255" i="3"/>
  <c r="L255" i="3"/>
  <c r="AY254" i="3"/>
  <c r="AX254" i="3"/>
  <c r="AJ254" i="3"/>
  <c r="L254" i="3"/>
  <c r="AY253" i="3"/>
  <c r="AX253" i="3"/>
  <c r="AJ253" i="3"/>
  <c r="L253" i="3"/>
  <c r="AY252" i="3"/>
  <c r="AX252" i="3"/>
  <c r="AJ252" i="3"/>
  <c r="L252" i="3"/>
  <c r="AY251" i="3"/>
  <c r="AX251" i="3"/>
  <c r="AJ251" i="3"/>
  <c r="L251" i="3"/>
  <c r="AY250" i="3"/>
  <c r="AX250" i="3"/>
  <c r="AJ250" i="3"/>
  <c r="L250" i="3"/>
  <c r="AY249" i="3"/>
  <c r="AX249" i="3"/>
  <c r="AJ249" i="3"/>
  <c r="L249" i="3"/>
  <c r="AY248" i="3"/>
  <c r="AX248" i="3"/>
  <c r="AJ248" i="3"/>
  <c r="L248" i="3"/>
  <c r="AY247" i="3"/>
  <c r="AX247" i="3"/>
  <c r="AJ247" i="3"/>
  <c r="L247" i="3"/>
  <c r="AY246" i="3"/>
  <c r="AX246" i="3"/>
  <c r="AJ246" i="3"/>
  <c r="L246" i="3"/>
  <c r="AY245" i="3"/>
  <c r="AX245" i="3"/>
  <c r="AJ245" i="3"/>
  <c r="L245" i="3"/>
  <c r="AY244" i="3"/>
  <c r="AX244" i="3"/>
  <c r="AJ244" i="3"/>
  <c r="L244" i="3"/>
  <c r="AY243" i="3"/>
  <c r="AX243" i="3"/>
  <c r="AJ243" i="3"/>
  <c r="L243" i="3"/>
  <c r="AY242" i="3"/>
  <c r="AX242" i="3"/>
  <c r="AJ242" i="3"/>
  <c r="L242" i="3"/>
  <c r="AY241" i="3"/>
  <c r="AX241" i="3"/>
  <c r="AJ241" i="3"/>
  <c r="L241" i="3"/>
  <c r="AY240" i="3"/>
  <c r="AX240" i="3"/>
  <c r="AJ240" i="3"/>
  <c r="L240" i="3"/>
  <c r="AY239" i="3"/>
  <c r="AX239" i="3"/>
  <c r="AJ239" i="3"/>
  <c r="L239" i="3"/>
  <c r="AY238" i="3"/>
  <c r="AX238" i="3"/>
  <c r="AJ238" i="3"/>
  <c r="L238" i="3"/>
  <c r="AY237" i="3"/>
  <c r="AX237" i="3"/>
  <c r="AJ237" i="3"/>
  <c r="L237" i="3"/>
  <c r="AY236" i="3"/>
  <c r="AX236" i="3"/>
  <c r="AJ236" i="3"/>
  <c r="L236" i="3"/>
  <c r="AY235" i="3"/>
  <c r="AX235" i="3"/>
  <c r="AJ235" i="3"/>
  <c r="L235" i="3"/>
  <c r="AL3" i="2"/>
  <c r="G117" i="5" l="1"/>
  <c r="I117" i="5" s="1"/>
  <c r="G121" i="5"/>
  <c r="I121" i="5" s="1"/>
  <c r="G118" i="5"/>
  <c r="I118" i="5" s="1"/>
  <c r="G122" i="5"/>
  <c r="I122" i="5" s="1"/>
  <c r="G119" i="5"/>
  <c r="I119" i="5" s="1"/>
  <c r="G120" i="5"/>
  <c r="I120" i="5" s="1"/>
  <c r="G114" i="5"/>
  <c r="I114" i="5" s="1"/>
  <c r="H509" i="5"/>
  <c r="J509" i="5" s="1"/>
  <c r="H500" i="5"/>
  <c r="H491" i="5"/>
  <c r="H482" i="5"/>
  <c r="N509" i="5"/>
  <c r="P509" i="5" s="1"/>
  <c r="N500" i="5"/>
  <c r="P500" i="5" s="1"/>
  <c r="N491" i="5"/>
  <c r="P491" i="5" s="1"/>
  <c r="N482" i="5"/>
  <c r="P482" i="5" s="1"/>
  <c r="N510" i="5"/>
  <c r="P510" i="5" s="1"/>
  <c r="N501" i="5"/>
  <c r="P501" i="5" s="1"/>
  <c r="N492" i="5"/>
  <c r="P492" i="5" s="1"/>
  <c r="N483" i="5"/>
  <c r="N481" i="5"/>
  <c r="P481" i="5" s="1"/>
  <c r="N478" i="5"/>
  <c r="P478" i="5" s="1"/>
  <c r="N476" i="5"/>
  <c r="P476" i="5" s="1"/>
  <c r="N477" i="5"/>
  <c r="P477" i="5" s="1"/>
  <c r="N479" i="5"/>
  <c r="P479" i="5" s="1"/>
  <c r="N480" i="5"/>
  <c r="P480" i="5" s="1"/>
  <c r="N485" i="5"/>
  <c r="P485" i="5" s="1"/>
  <c r="N486" i="5"/>
  <c r="N487" i="5"/>
  <c r="P487" i="5" s="1"/>
  <c r="N488" i="5"/>
  <c r="P488" i="5" s="1"/>
  <c r="N489" i="5"/>
  <c r="P489" i="5" s="1"/>
  <c r="N490" i="5"/>
  <c r="P490" i="5" s="1"/>
  <c r="N493" i="5"/>
  <c r="P493" i="5" s="1"/>
  <c r="N494" i="5"/>
  <c r="N495" i="5"/>
  <c r="P495" i="5" s="1"/>
  <c r="N496" i="5"/>
  <c r="P496" i="5" s="1"/>
  <c r="N497" i="5"/>
  <c r="P497" i="5" s="1"/>
  <c r="N498" i="5"/>
  <c r="P498" i="5" s="1"/>
  <c r="N499" i="5"/>
  <c r="P499" i="5" s="1"/>
  <c r="N503" i="5"/>
  <c r="P503" i="5" s="1"/>
  <c r="N504" i="5"/>
  <c r="P504" i="5" s="1"/>
  <c r="N505" i="5"/>
  <c r="P505" i="5" s="1"/>
  <c r="N506" i="5"/>
  <c r="P506" i="5" s="1"/>
  <c r="N507" i="5"/>
  <c r="P507" i="5" s="1"/>
  <c r="N508" i="5"/>
  <c r="P508" i="5" s="1"/>
  <c r="N502" i="5"/>
  <c r="N484" i="5"/>
  <c r="P484" i="5" s="1"/>
  <c r="N475" i="5"/>
  <c r="P475" i="5" s="1"/>
  <c r="H502" i="5"/>
  <c r="J502" i="5" s="1"/>
  <c r="H493" i="5"/>
  <c r="J493" i="5" s="1"/>
  <c r="H484" i="5"/>
  <c r="J484" i="5" s="1"/>
  <c r="H475" i="5"/>
  <c r="J475" i="5" s="1"/>
  <c r="G17" i="5"/>
  <c r="I17" i="5" s="1"/>
  <c r="G18" i="5"/>
  <c r="I18" i="5" s="1"/>
  <c r="G19" i="5"/>
  <c r="I19" i="5" s="1"/>
  <c r="G20" i="5"/>
  <c r="I20" i="5" s="1"/>
  <c r="G22" i="5"/>
  <c r="I22" i="5" s="1"/>
  <c r="G21" i="5"/>
  <c r="I21" i="5" s="1"/>
  <c r="G23" i="5"/>
  <c r="G24" i="5"/>
  <c r="G25" i="5"/>
  <c r="I25" i="5" s="1"/>
  <c r="H434" i="5"/>
  <c r="J434" i="5" s="1"/>
  <c r="N146" i="5"/>
  <c r="AL6" i="2"/>
  <c r="H119" i="5"/>
  <c r="C18" i="5"/>
  <c r="C28" i="5"/>
  <c r="C22" i="5"/>
  <c r="C27" i="5"/>
  <c r="H118" i="5"/>
  <c r="C21" i="5"/>
  <c r="C26" i="5"/>
  <c r="C20" i="5"/>
  <c r="C25" i="5"/>
  <c r="C19" i="5"/>
  <c r="H117" i="5"/>
  <c r="H122" i="5"/>
  <c r="C24" i="5"/>
  <c r="H121" i="5"/>
  <c r="C29" i="5"/>
  <c r="H120" i="5"/>
  <c r="H398" i="5"/>
  <c r="H394" i="5"/>
  <c r="H390" i="5"/>
  <c r="H386" i="5"/>
  <c r="H382" i="5"/>
  <c r="H378" i="5"/>
  <c r="H374" i="5"/>
  <c r="H510" i="5"/>
  <c r="J510" i="5" s="1"/>
  <c r="H506" i="5"/>
  <c r="J506" i="5" s="1"/>
  <c r="H498" i="5"/>
  <c r="J498" i="5" s="1"/>
  <c r="H494" i="5"/>
  <c r="J494" i="5" s="1"/>
  <c r="H490" i="5"/>
  <c r="J490" i="5" s="1"/>
  <c r="H486" i="5"/>
  <c r="J486" i="5" s="1"/>
  <c r="J482" i="5"/>
  <c r="H478" i="5"/>
  <c r="J478" i="5" s="1"/>
  <c r="H472" i="5"/>
  <c r="J472" i="5" s="1"/>
  <c r="H468" i="5"/>
  <c r="J468" i="5" s="1"/>
  <c r="H464" i="5"/>
  <c r="J464" i="5" s="1"/>
  <c r="H460" i="5"/>
  <c r="J460" i="5" s="1"/>
  <c r="H456" i="5"/>
  <c r="J456" i="5" s="1"/>
  <c r="H452" i="5"/>
  <c r="J452" i="5" s="1"/>
  <c r="H446" i="5"/>
  <c r="J446" i="5" s="1"/>
  <c r="H442" i="5"/>
  <c r="J442" i="5" s="1"/>
  <c r="H438" i="5"/>
  <c r="J438" i="5" s="1"/>
  <c r="N430" i="5"/>
  <c r="P430" i="5" s="1"/>
  <c r="N397" i="5"/>
  <c r="N393" i="5"/>
  <c r="N471" i="5"/>
  <c r="P471" i="5" s="1"/>
  <c r="N467" i="5"/>
  <c r="P467" i="5" s="1"/>
  <c r="N463" i="5"/>
  <c r="P463" i="5" s="1"/>
  <c r="N459" i="5"/>
  <c r="P459" i="5" s="1"/>
  <c r="N455" i="5"/>
  <c r="P455" i="5" s="1"/>
  <c r="N451" i="5"/>
  <c r="P451" i="5" s="1"/>
  <c r="N445" i="5"/>
  <c r="P445" i="5" s="1"/>
  <c r="N441" i="5"/>
  <c r="P441" i="5" s="1"/>
  <c r="N437" i="5"/>
  <c r="P437" i="5" s="1"/>
  <c r="H430" i="5"/>
  <c r="J430" i="5" s="1"/>
  <c r="H505" i="5"/>
  <c r="J505" i="5" s="1"/>
  <c r="H501" i="5"/>
  <c r="J501" i="5" s="1"/>
  <c r="H497" i="5"/>
  <c r="J497" i="5" s="1"/>
  <c r="H489" i="5"/>
  <c r="J489" i="5" s="1"/>
  <c r="H485" i="5"/>
  <c r="J485" i="5" s="1"/>
  <c r="H481" i="5"/>
  <c r="J481" i="5" s="1"/>
  <c r="H477" i="5"/>
  <c r="J477" i="5" s="1"/>
  <c r="H471" i="5"/>
  <c r="J471" i="5" s="1"/>
  <c r="H467" i="5"/>
  <c r="J467" i="5" s="1"/>
  <c r="H463" i="5"/>
  <c r="J463" i="5" s="1"/>
  <c r="H459" i="5"/>
  <c r="J459" i="5" s="1"/>
  <c r="H455" i="5"/>
  <c r="J455" i="5" s="1"/>
  <c r="H451" i="5"/>
  <c r="J451" i="5" s="1"/>
  <c r="H445" i="5"/>
  <c r="J445" i="5" s="1"/>
  <c r="H441" i="5"/>
  <c r="J441" i="5" s="1"/>
  <c r="H437" i="5"/>
  <c r="J437" i="5" s="1"/>
  <c r="N433" i="5"/>
  <c r="P433" i="5" s="1"/>
  <c r="N429" i="5"/>
  <c r="P429" i="5" s="1"/>
  <c r="N470" i="5"/>
  <c r="P470" i="5" s="1"/>
  <c r="N466" i="5"/>
  <c r="P466" i="5" s="1"/>
  <c r="N462" i="5"/>
  <c r="P462" i="5" s="1"/>
  <c r="N458" i="5"/>
  <c r="P458" i="5" s="1"/>
  <c r="N454" i="5"/>
  <c r="P454" i="5" s="1"/>
  <c r="N450" i="5"/>
  <c r="P450" i="5" s="1"/>
  <c r="N444" i="5"/>
  <c r="P444" i="5" s="1"/>
  <c r="N440" i="5"/>
  <c r="P440" i="5" s="1"/>
  <c r="N436" i="5"/>
  <c r="P436" i="5" s="1"/>
  <c r="H433" i="5"/>
  <c r="J433" i="5" s="1"/>
  <c r="H429" i="5"/>
  <c r="J429" i="5" s="1"/>
  <c r="H508" i="5"/>
  <c r="J508" i="5" s="1"/>
  <c r="H504" i="5"/>
  <c r="J504" i="5" s="1"/>
  <c r="J500" i="5"/>
  <c r="H496" i="5"/>
  <c r="J496" i="5" s="1"/>
  <c r="H492" i="5"/>
  <c r="J492" i="5" s="1"/>
  <c r="H488" i="5"/>
  <c r="J488" i="5" s="1"/>
  <c r="H480" i="5"/>
  <c r="J480" i="5" s="1"/>
  <c r="H476" i="5"/>
  <c r="J476" i="5" s="1"/>
  <c r="H470" i="5"/>
  <c r="J470" i="5" s="1"/>
  <c r="H466" i="5"/>
  <c r="J466" i="5" s="1"/>
  <c r="H462" i="5"/>
  <c r="J462" i="5" s="1"/>
  <c r="H458" i="5"/>
  <c r="J458" i="5" s="1"/>
  <c r="H454" i="5"/>
  <c r="J454" i="5" s="1"/>
  <c r="H450" i="5"/>
  <c r="J450" i="5" s="1"/>
  <c r="H444" i="5"/>
  <c r="J444" i="5" s="1"/>
  <c r="H440" i="5"/>
  <c r="J440" i="5" s="1"/>
  <c r="H436" i="5"/>
  <c r="J436" i="5" s="1"/>
  <c r="N432" i="5"/>
  <c r="P432" i="5" s="1"/>
  <c r="N428" i="5"/>
  <c r="P428" i="5" s="1"/>
  <c r="P483" i="5"/>
  <c r="N469" i="5"/>
  <c r="P469" i="5" s="1"/>
  <c r="N465" i="5"/>
  <c r="P465" i="5" s="1"/>
  <c r="N461" i="5"/>
  <c r="P461" i="5" s="1"/>
  <c r="N457" i="5"/>
  <c r="P457" i="5" s="1"/>
  <c r="N453" i="5"/>
  <c r="P453" i="5" s="1"/>
  <c r="N449" i="5"/>
  <c r="P449" i="5" s="1"/>
  <c r="N443" i="5"/>
  <c r="P443" i="5" s="1"/>
  <c r="N439" i="5"/>
  <c r="P439" i="5" s="1"/>
  <c r="N435" i="5"/>
  <c r="P435" i="5" s="1"/>
  <c r="H432" i="5"/>
  <c r="J432" i="5" s="1"/>
  <c r="H428" i="5"/>
  <c r="J428" i="5" s="1"/>
  <c r="H507" i="5"/>
  <c r="J507" i="5" s="1"/>
  <c r="H503" i="5"/>
  <c r="J503" i="5" s="1"/>
  <c r="H499" i="5"/>
  <c r="J499" i="5" s="1"/>
  <c r="H495" i="5"/>
  <c r="J495" i="5" s="1"/>
  <c r="J491" i="5"/>
  <c r="H487" i="5"/>
  <c r="J487" i="5" s="1"/>
  <c r="H483" i="5"/>
  <c r="J483" i="5" s="1"/>
  <c r="H479" i="5"/>
  <c r="J479" i="5" s="1"/>
  <c r="H469" i="5"/>
  <c r="J469" i="5" s="1"/>
  <c r="H465" i="5"/>
  <c r="J465" i="5" s="1"/>
  <c r="H461" i="5"/>
  <c r="J461" i="5" s="1"/>
  <c r="H457" i="5"/>
  <c r="J457" i="5" s="1"/>
  <c r="H453" i="5"/>
  <c r="J453" i="5" s="1"/>
  <c r="H449" i="5"/>
  <c r="J449" i="5" s="1"/>
  <c r="H443" i="5"/>
  <c r="J443" i="5" s="1"/>
  <c r="H439" i="5"/>
  <c r="J439" i="5" s="1"/>
  <c r="H435" i="5"/>
  <c r="J435" i="5" s="1"/>
  <c r="N431" i="5"/>
  <c r="P431" i="5" s="1"/>
  <c r="N427" i="5"/>
  <c r="P427" i="5" s="1"/>
  <c r="P502" i="5"/>
  <c r="P494" i="5"/>
  <c r="P486" i="5"/>
  <c r="N472" i="5"/>
  <c r="P472" i="5" s="1"/>
  <c r="N468" i="5"/>
  <c r="P468" i="5" s="1"/>
  <c r="N464" i="5"/>
  <c r="P464" i="5" s="1"/>
  <c r="N460" i="5"/>
  <c r="P460" i="5" s="1"/>
  <c r="N456" i="5"/>
  <c r="P456" i="5" s="1"/>
  <c r="N452" i="5"/>
  <c r="P452" i="5" s="1"/>
  <c r="N446" i="5"/>
  <c r="P446" i="5" s="1"/>
  <c r="N442" i="5"/>
  <c r="P442" i="5" s="1"/>
  <c r="N438" i="5"/>
  <c r="P438" i="5" s="1"/>
  <c r="N434" i="5"/>
  <c r="P434" i="5" s="1"/>
  <c r="H431" i="5"/>
  <c r="J431" i="5" s="1"/>
  <c r="H427" i="5"/>
  <c r="J427" i="5" s="1"/>
  <c r="H370" i="5"/>
  <c r="H366" i="5"/>
  <c r="H362" i="5"/>
  <c r="H358" i="5"/>
  <c r="H354" i="5"/>
  <c r="H350" i="5"/>
  <c r="H346" i="5"/>
  <c r="H340" i="5"/>
  <c r="H336" i="5"/>
  <c r="H332" i="5"/>
  <c r="H328" i="5"/>
  <c r="H324" i="5"/>
  <c r="H320" i="5"/>
  <c r="H316" i="5"/>
  <c r="H312" i="5"/>
  <c r="H296" i="5"/>
  <c r="H280" i="5"/>
  <c r="H264" i="5"/>
  <c r="H252" i="5"/>
  <c r="H248" i="5"/>
  <c r="H236" i="5"/>
  <c r="H232" i="5"/>
  <c r="H220" i="5"/>
  <c r="H216" i="5"/>
  <c r="H204" i="5"/>
  <c r="H200" i="5"/>
  <c r="H188" i="5"/>
  <c r="H184" i="5"/>
  <c r="H172" i="5"/>
  <c r="H168" i="5"/>
  <c r="H156" i="5"/>
  <c r="H152" i="5"/>
  <c r="N389" i="5"/>
  <c r="N385" i="5"/>
  <c r="N381" i="5"/>
  <c r="N377" i="5"/>
  <c r="N373" i="5"/>
  <c r="N369" i="5"/>
  <c r="N365" i="5"/>
  <c r="N361" i="5"/>
  <c r="N357" i="5"/>
  <c r="N353" i="5"/>
  <c r="N349" i="5"/>
  <c r="N345" i="5"/>
  <c r="N339" i="5"/>
  <c r="N335" i="5"/>
  <c r="N331" i="5"/>
  <c r="N327" i="5"/>
  <c r="N323" i="5"/>
  <c r="N319" i="5"/>
  <c r="N315" i="5"/>
  <c r="N311" i="5"/>
  <c r="N307" i="5"/>
  <c r="N291" i="5"/>
  <c r="N275" i="5"/>
  <c r="N259" i="5"/>
  <c r="N247" i="5"/>
  <c r="N243" i="5"/>
  <c r="N231" i="5"/>
  <c r="N227" i="5"/>
  <c r="N215" i="5"/>
  <c r="N211" i="5"/>
  <c r="N199" i="5"/>
  <c r="N195" i="5"/>
  <c r="N183" i="5"/>
  <c r="N179" i="5"/>
  <c r="N167" i="5"/>
  <c r="N163" i="5"/>
  <c r="N151" i="5"/>
  <c r="N147" i="5"/>
  <c r="H397" i="5"/>
  <c r="H393" i="5"/>
  <c r="H389" i="5"/>
  <c r="H385" i="5"/>
  <c r="H381" i="5"/>
  <c r="H377" i="5"/>
  <c r="H373" i="5"/>
  <c r="H369" i="5"/>
  <c r="H365" i="5"/>
  <c r="H361" i="5"/>
  <c r="H357" i="5"/>
  <c r="H396" i="5"/>
  <c r="H392" i="5"/>
  <c r="H388" i="5"/>
  <c r="H384" i="5"/>
  <c r="H380" i="5"/>
  <c r="H376" i="5"/>
  <c r="H372" i="5"/>
  <c r="H368" i="5"/>
  <c r="H364" i="5"/>
  <c r="H360" i="5"/>
  <c r="H356" i="5"/>
  <c r="H352" i="5"/>
  <c r="H348" i="5"/>
  <c r="H344" i="5"/>
  <c r="H338" i="5"/>
  <c r="H334" i="5"/>
  <c r="H330" i="5"/>
  <c r="H326" i="5"/>
  <c r="H322" i="5"/>
  <c r="H318" i="5"/>
  <c r="H314" i="5"/>
  <c r="H310" i="5"/>
  <c r="H302" i="5"/>
  <c r="H298" i="5"/>
  <c r="H294" i="5"/>
  <c r="H286" i="5"/>
  <c r="H282" i="5"/>
  <c r="H278" i="5"/>
  <c r="H270" i="5"/>
  <c r="H262" i="5"/>
  <c r="H254" i="5"/>
  <c r="H246" i="5"/>
  <c r="H238" i="5"/>
  <c r="H230" i="5"/>
  <c r="H222" i="5"/>
  <c r="H214" i="5"/>
  <c r="H206" i="5"/>
  <c r="H198" i="5"/>
  <c r="H190" i="5"/>
  <c r="H182" i="5"/>
  <c r="H174" i="5"/>
  <c r="H166" i="5"/>
  <c r="H158" i="5"/>
  <c r="H150" i="5"/>
  <c r="H142" i="5"/>
  <c r="H422" i="5"/>
  <c r="J422" i="5" s="1"/>
  <c r="N395" i="5"/>
  <c r="N391" i="5"/>
  <c r="N387" i="5"/>
  <c r="N379" i="5"/>
  <c r="N375" i="5"/>
  <c r="N371" i="5"/>
  <c r="N367" i="5"/>
  <c r="N363" i="5"/>
  <c r="N359" i="5"/>
  <c r="N355" i="5"/>
  <c r="N351" i="5"/>
  <c r="N347" i="5"/>
  <c r="N343" i="5"/>
  <c r="N337" i="5"/>
  <c r="N333" i="5"/>
  <c r="N329" i="5"/>
  <c r="N325" i="5"/>
  <c r="N321" i="5"/>
  <c r="N317" i="5"/>
  <c r="N313" i="5"/>
  <c r="N309" i="5"/>
  <c r="N305" i="5"/>
  <c r="N297" i="5"/>
  <c r="N293" i="5"/>
  <c r="N289" i="5"/>
  <c r="N281" i="5"/>
  <c r="N277" i="5"/>
  <c r="N273" i="5"/>
  <c r="N265" i="5"/>
  <c r="N257" i="5"/>
  <c r="N249" i="5"/>
  <c r="N241" i="5"/>
  <c r="N233" i="5"/>
  <c r="N225" i="5"/>
  <c r="N217" i="5"/>
  <c r="N209" i="5"/>
  <c r="N201" i="5"/>
  <c r="N193" i="5"/>
  <c r="N185" i="5"/>
  <c r="N177" i="5"/>
  <c r="N169" i="5"/>
  <c r="N161" i="5"/>
  <c r="N153" i="5"/>
  <c r="N145" i="5"/>
  <c r="N383" i="5"/>
  <c r="H418" i="5"/>
  <c r="J418" i="5" s="1"/>
  <c r="H395" i="5"/>
  <c r="H391" i="5"/>
  <c r="H387" i="5"/>
  <c r="H383" i="5"/>
  <c r="H379" i="5"/>
  <c r="H375" i="5"/>
  <c r="H371" i="5"/>
  <c r="H367" i="5"/>
  <c r="H363" i="5"/>
  <c r="H359" i="5"/>
  <c r="H423" i="5"/>
  <c r="J423" i="5" s="1"/>
  <c r="H419" i="5"/>
  <c r="J419" i="5" s="1"/>
  <c r="H415" i="5"/>
  <c r="J415" i="5" s="1"/>
  <c r="H411" i="5"/>
  <c r="J411" i="5" s="1"/>
  <c r="H407" i="5"/>
  <c r="J407" i="5" s="1"/>
  <c r="H403" i="5"/>
  <c r="J403" i="5" s="1"/>
  <c r="N300" i="5"/>
  <c r="N284" i="5"/>
  <c r="N268" i="5"/>
  <c r="N252" i="5"/>
  <c r="N236" i="5"/>
  <c r="N220" i="5"/>
  <c r="N204" i="5"/>
  <c r="N188" i="5"/>
  <c r="N172" i="5"/>
  <c r="N156" i="5"/>
  <c r="N422" i="5"/>
  <c r="P422" i="5" s="1"/>
  <c r="N418" i="5"/>
  <c r="P418" i="5" s="1"/>
  <c r="N414" i="5"/>
  <c r="P414" i="5" s="1"/>
  <c r="N410" i="5"/>
  <c r="P410" i="5" s="1"/>
  <c r="N406" i="5"/>
  <c r="P406" i="5" s="1"/>
  <c r="N402" i="5"/>
  <c r="P402" i="5" s="1"/>
  <c r="N302" i="5"/>
  <c r="N286" i="5"/>
  <c r="N270" i="5"/>
  <c r="H266" i="5"/>
  <c r="N261" i="5"/>
  <c r="N254" i="5"/>
  <c r="H250" i="5"/>
  <c r="N245" i="5"/>
  <c r="N238" i="5"/>
  <c r="H234" i="5"/>
  <c r="N229" i="5"/>
  <c r="N222" i="5"/>
  <c r="H218" i="5"/>
  <c r="N213" i="5"/>
  <c r="N206" i="5"/>
  <c r="H202" i="5"/>
  <c r="N197" i="5"/>
  <c r="N190" i="5"/>
  <c r="H186" i="5"/>
  <c r="N181" i="5"/>
  <c r="N174" i="5"/>
  <c r="H170" i="5"/>
  <c r="N165" i="5"/>
  <c r="N158" i="5"/>
  <c r="H154" i="5"/>
  <c r="N149" i="5"/>
  <c r="N142" i="5"/>
  <c r="N304" i="5"/>
  <c r="H300" i="5"/>
  <c r="N295" i="5"/>
  <c r="N288" i="5"/>
  <c r="H284" i="5"/>
  <c r="N279" i="5"/>
  <c r="N272" i="5"/>
  <c r="H268" i="5"/>
  <c r="N263" i="5"/>
  <c r="N256" i="5"/>
  <c r="N240" i="5"/>
  <c r="N224" i="5"/>
  <c r="N208" i="5"/>
  <c r="N192" i="5"/>
  <c r="N176" i="5"/>
  <c r="N160" i="5"/>
  <c r="N144" i="5"/>
  <c r="H414" i="5"/>
  <c r="J414" i="5" s="1"/>
  <c r="H410" i="5"/>
  <c r="J410" i="5" s="1"/>
  <c r="H406" i="5"/>
  <c r="J406" i="5" s="1"/>
  <c r="H402" i="5"/>
  <c r="J402" i="5" s="1"/>
  <c r="N421" i="5"/>
  <c r="P421" i="5" s="1"/>
  <c r="N417" i="5"/>
  <c r="P417" i="5" s="1"/>
  <c r="N413" i="5"/>
  <c r="P413" i="5" s="1"/>
  <c r="N409" i="5"/>
  <c r="P409" i="5" s="1"/>
  <c r="N405" i="5"/>
  <c r="P405" i="5" s="1"/>
  <c r="N401" i="5"/>
  <c r="P401" i="5" s="1"/>
  <c r="H355" i="5"/>
  <c r="H353" i="5"/>
  <c r="H351" i="5"/>
  <c r="H349" i="5"/>
  <c r="H347" i="5"/>
  <c r="H345" i="5"/>
  <c r="H343" i="5"/>
  <c r="H339" i="5"/>
  <c r="H337" i="5"/>
  <c r="H335" i="5"/>
  <c r="H333" i="5"/>
  <c r="H331" i="5"/>
  <c r="H329" i="5"/>
  <c r="H327" i="5"/>
  <c r="H325" i="5"/>
  <c r="H323" i="5"/>
  <c r="H321" i="5"/>
  <c r="H319" i="5"/>
  <c r="H317" i="5"/>
  <c r="H315" i="5"/>
  <c r="H313" i="5"/>
  <c r="H311" i="5"/>
  <c r="N306" i="5"/>
  <c r="N290" i="5"/>
  <c r="N274" i="5"/>
  <c r="N258" i="5"/>
  <c r="N242" i="5"/>
  <c r="N226" i="5"/>
  <c r="N210" i="5"/>
  <c r="N194" i="5"/>
  <c r="N178" i="5"/>
  <c r="N162" i="5"/>
  <c r="H141" i="5"/>
  <c r="H143" i="5"/>
  <c r="H145" i="5"/>
  <c r="H147" i="5"/>
  <c r="H149" i="5"/>
  <c r="H151" i="5"/>
  <c r="H153" i="5"/>
  <c r="H155" i="5"/>
  <c r="H157" i="5"/>
  <c r="H159" i="5"/>
  <c r="H161" i="5"/>
  <c r="H163" i="5"/>
  <c r="H165" i="5"/>
  <c r="H167" i="5"/>
  <c r="H169" i="5"/>
  <c r="H171" i="5"/>
  <c r="H173" i="5"/>
  <c r="H175" i="5"/>
  <c r="H177" i="5"/>
  <c r="H179" i="5"/>
  <c r="H181" i="5"/>
  <c r="H183" i="5"/>
  <c r="H185" i="5"/>
  <c r="H187" i="5"/>
  <c r="H189" i="5"/>
  <c r="H191" i="5"/>
  <c r="H193" i="5"/>
  <c r="H195" i="5"/>
  <c r="H197" i="5"/>
  <c r="H199" i="5"/>
  <c r="H201" i="5"/>
  <c r="H203" i="5"/>
  <c r="H205" i="5"/>
  <c r="H207" i="5"/>
  <c r="H209" i="5"/>
  <c r="H211" i="5"/>
  <c r="H213" i="5"/>
  <c r="H215" i="5"/>
  <c r="H217" i="5"/>
  <c r="H219" i="5"/>
  <c r="H221" i="5"/>
  <c r="H223" i="5"/>
  <c r="H225" i="5"/>
  <c r="H227" i="5"/>
  <c r="H229" i="5"/>
  <c r="H231" i="5"/>
  <c r="H233" i="5"/>
  <c r="H235" i="5"/>
  <c r="H237" i="5"/>
  <c r="H239" i="5"/>
  <c r="H241" i="5"/>
  <c r="H243" i="5"/>
  <c r="H245" i="5"/>
  <c r="H247" i="5"/>
  <c r="H249" i="5"/>
  <c r="H251" i="5"/>
  <c r="H253" i="5"/>
  <c r="H255" i="5"/>
  <c r="H257" i="5"/>
  <c r="H259" i="5"/>
  <c r="H261" i="5"/>
  <c r="H263" i="5"/>
  <c r="H265" i="5"/>
  <c r="H267" i="5"/>
  <c r="H269" i="5"/>
  <c r="H271" i="5"/>
  <c r="H273" i="5"/>
  <c r="H275" i="5"/>
  <c r="H277" i="5"/>
  <c r="H279" i="5"/>
  <c r="H281" i="5"/>
  <c r="H283" i="5"/>
  <c r="H285" i="5"/>
  <c r="H287" i="5"/>
  <c r="H289" i="5"/>
  <c r="H291" i="5"/>
  <c r="H293" i="5"/>
  <c r="H295" i="5"/>
  <c r="H297" i="5"/>
  <c r="H299" i="5"/>
  <c r="H301" i="5"/>
  <c r="H303" i="5"/>
  <c r="H305" i="5"/>
  <c r="H307" i="5"/>
  <c r="H309" i="5"/>
  <c r="H421" i="5"/>
  <c r="J421" i="5" s="1"/>
  <c r="H417" i="5"/>
  <c r="J417" i="5" s="1"/>
  <c r="H413" i="5"/>
  <c r="J413" i="5" s="1"/>
  <c r="H409" i="5"/>
  <c r="J409" i="5" s="1"/>
  <c r="H405" i="5"/>
  <c r="J405" i="5" s="1"/>
  <c r="H401" i="5"/>
  <c r="J401" i="5" s="1"/>
  <c r="N308" i="5"/>
  <c r="H304" i="5"/>
  <c r="N299" i="5"/>
  <c r="N292" i="5"/>
  <c r="H288" i="5"/>
  <c r="N283" i="5"/>
  <c r="N276" i="5"/>
  <c r="H272" i="5"/>
  <c r="N267" i="5"/>
  <c r="N260" i="5"/>
  <c r="H256" i="5"/>
  <c r="N251" i="5"/>
  <c r="N244" i="5"/>
  <c r="H240" i="5"/>
  <c r="N235" i="5"/>
  <c r="N228" i="5"/>
  <c r="H224" i="5"/>
  <c r="N219" i="5"/>
  <c r="N212" i="5"/>
  <c r="H208" i="5"/>
  <c r="N203" i="5"/>
  <c r="N196" i="5"/>
  <c r="H192" i="5"/>
  <c r="N187" i="5"/>
  <c r="N180" i="5"/>
  <c r="H176" i="5"/>
  <c r="N171" i="5"/>
  <c r="N164" i="5"/>
  <c r="H160" i="5"/>
  <c r="N155" i="5"/>
  <c r="N148" i="5"/>
  <c r="H144" i="5"/>
  <c r="N424" i="5"/>
  <c r="P424" i="5" s="1"/>
  <c r="N420" i="5"/>
  <c r="P420" i="5" s="1"/>
  <c r="N416" i="5"/>
  <c r="P416" i="5" s="1"/>
  <c r="N412" i="5"/>
  <c r="P412" i="5" s="1"/>
  <c r="N408" i="5"/>
  <c r="P408" i="5" s="1"/>
  <c r="N404" i="5"/>
  <c r="P404" i="5" s="1"/>
  <c r="N398" i="5"/>
  <c r="N396" i="5"/>
  <c r="N394" i="5"/>
  <c r="N392" i="5"/>
  <c r="N390" i="5"/>
  <c r="N388" i="5"/>
  <c r="N386" i="5"/>
  <c r="N384" i="5"/>
  <c r="N382" i="5"/>
  <c r="N380" i="5"/>
  <c r="N378" i="5"/>
  <c r="N376" i="5"/>
  <c r="N374" i="5"/>
  <c r="N372" i="5"/>
  <c r="N370" i="5"/>
  <c r="N368" i="5"/>
  <c r="N366" i="5"/>
  <c r="N364" i="5"/>
  <c r="N362" i="5"/>
  <c r="N360" i="5"/>
  <c r="N358" i="5"/>
  <c r="N356" i="5"/>
  <c r="N354" i="5"/>
  <c r="N352" i="5"/>
  <c r="N350" i="5"/>
  <c r="N348" i="5"/>
  <c r="N346" i="5"/>
  <c r="N344" i="5"/>
  <c r="N340" i="5"/>
  <c r="N338" i="5"/>
  <c r="N336" i="5"/>
  <c r="N334" i="5"/>
  <c r="N332" i="5"/>
  <c r="N330" i="5"/>
  <c r="N328" i="5"/>
  <c r="N326" i="5"/>
  <c r="N324" i="5"/>
  <c r="N322" i="5"/>
  <c r="N320" i="5"/>
  <c r="N318" i="5"/>
  <c r="N316" i="5"/>
  <c r="N314" i="5"/>
  <c r="N312" i="5"/>
  <c r="N310" i="5"/>
  <c r="H306" i="5"/>
  <c r="N301" i="5"/>
  <c r="N294" i="5"/>
  <c r="H290" i="5"/>
  <c r="N285" i="5"/>
  <c r="N278" i="5"/>
  <c r="H274" i="5"/>
  <c r="N269" i="5"/>
  <c r="N262" i="5"/>
  <c r="H258" i="5"/>
  <c r="N253" i="5"/>
  <c r="N246" i="5"/>
  <c r="H242" i="5"/>
  <c r="N237" i="5"/>
  <c r="N230" i="5"/>
  <c r="H226" i="5"/>
  <c r="N221" i="5"/>
  <c r="N214" i="5"/>
  <c r="H210" i="5"/>
  <c r="N205" i="5"/>
  <c r="N198" i="5"/>
  <c r="H194" i="5"/>
  <c r="N189" i="5"/>
  <c r="N182" i="5"/>
  <c r="H178" i="5"/>
  <c r="N173" i="5"/>
  <c r="N166" i="5"/>
  <c r="H162" i="5"/>
  <c r="N157" i="5"/>
  <c r="N150" i="5"/>
  <c r="H146" i="5"/>
  <c r="N141" i="5"/>
  <c r="H424" i="5"/>
  <c r="J424" i="5" s="1"/>
  <c r="H420" i="5"/>
  <c r="J420" i="5" s="1"/>
  <c r="H416" i="5"/>
  <c r="J416" i="5" s="1"/>
  <c r="H412" i="5"/>
  <c r="J412" i="5" s="1"/>
  <c r="H408" i="5"/>
  <c r="J408" i="5" s="1"/>
  <c r="H404" i="5"/>
  <c r="J404" i="5" s="1"/>
  <c r="H308" i="5"/>
  <c r="N303" i="5"/>
  <c r="N296" i="5"/>
  <c r="H292" i="5"/>
  <c r="N287" i="5"/>
  <c r="N280" i="5"/>
  <c r="H276" i="5"/>
  <c r="N271" i="5"/>
  <c r="N264" i="5"/>
  <c r="H260" i="5"/>
  <c r="N255" i="5"/>
  <c r="N248" i="5"/>
  <c r="H244" i="5"/>
  <c r="N239" i="5"/>
  <c r="N232" i="5"/>
  <c r="H228" i="5"/>
  <c r="N223" i="5"/>
  <c r="N216" i="5"/>
  <c r="H212" i="5"/>
  <c r="N207" i="5"/>
  <c r="N200" i="5"/>
  <c r="H196" i="5"/>
  <c r="N191" i="5"/>
  <c r="N184" i="5"/>
  <c r="H180" i="5"/>
  <c r="N175" i="5"/>
  <c r="N168" i="5"/>
  <c r="H164" i="5"/>
  <c r="N159" i="5"/>
  <c r="N152" i="5"/>
  <c r="H148" i="5"/>
  <c r="N143" i="5"/>
  <c r="N423" i="5"/>
  <c r="P423" i="5" s="1"/>
  <c r="N419" i="5"/>
  <c r="P419" i="5" s="1"/>
  <c r="N415" i="5"/>
  <c r="P415" i="5" s="1"/>
  <c r="N411" i="5"/>
  <c r="P411" i="5" s="1"/>
  <c r="N407" i="5"/>
  <c r="P407" i="5" s="1"/>
  <c r="N403" i="5"/>
  <c r="P403" i="5" s="1"/>
  <c r="N298" i="5"/>
  <c r="N282" i="5"/>
  <c r="N266" i="5"/>
  <c r="N250" i="5"/>
  <c r="N234" i="5"/>
  <c r="N218" i="5"/>
  <c r="N202" i="5"/>
  <c r="N186" i="5"/>
  <c r="N170" i="5"/>
  <c r="N154" i="5"/>
  <c r="G131" i="5"/>
  <c r="V242" i="2" s="1"/>
  <c r="G130" i="5"/>
  <c r="B242" i="2" s="1"/>
  <c r="AL15" i="2"/>
  <c r="G136" i="5"/>
  <c r="N242" i="2" s="1"/>
  <c r="G107" i="5"/>
  <c r="I107" i="5" s="1"/>
  <c r="AL18" i="2"/>
  <c r="I23" i="5"/>
  <c r="AL9" i="2"/>
  <c r="G110" i="5"/>
  <c r="I110" i="5" s="1"/>
  <c r="G113" i="5"/>
  <c r="I113" i="5" s="1"/>
  <c r="G109" i="5"/>
  <c r="I109" i="5" s="1"/>
  <c r="G137" i="5"/>
  <c r="AD242" i="2" s="1"/>
  <c r="I24" i="5"/>
  <c r="G129" i="5"/>
  <c r="V59" i="2" s="1"/>
  <c r="F125" i="5"/>
  <c r="AL21" i="2" s="1"/>
  <c r="G111" i="5"/>
  <c r="I111" i="5" s="1"/>
  <c r="G112" i="5"/>
  <c r="I112" i="5" s="1"/>
  <c r="G135" i="5"/>
  <c r="AD59" i="2" s="1"/>
  <c r="G134" i="5"/>
  <c r="N59" i="2" s="1"/>
  <c r="G128" i="5"/>
  <c r="B59" i="2" s="1"/>
  <c r="G108" i="5"/>
  <c r="I108" i="5" s="1"/>
</calcChain>
</file>

<file path=xl/sharedStrings.xml><?xml version="1.0" encoding="utf-8"?>
<sst xmlns="http://schemas.openxmlformats.org/spreadsheetml/2006/main" count="3120" uniqueCount="908">
  <si>
    <t>Purpose of this resource</t>
  </si>
  <si>
    <t xml:space="preserve">The purpose of this resource is to enable you to effectively track, monitor, and report on your organization's head count. </t>
  </si>
  <si>
    <t>Included in this resource</t>
  </si>
  <si>
    <t xml:space="preserve">     Instructions</t>
  </si>
  <si>
    <t>Step 1</t>
  </si>
  <si>
    <t>Create a copy of this document.</t>
  </si>
  <si>
    <t>Step 2</t>
  </si>
  <si>
    <t>Step 3</t>
  </si>
  <si>
    <t xml:space="preserve">Update the sheet every time an employee joins or leaves the company. When an employee leaves the company, change their status to "inactive." This will allow you to retain their information without it being reflected on the dashboard. </t>
  </si>
  <si>
    <t>Hide and unhide columns depending on your organization's head count record needs.</t>
  </si>
  <si>
    <t xml:space="preserve">Use the filters to search for specific information, such as name, last name, position, or date of birth. </t>
  </si>
  <si>
    <t>Step 4</t>
  </si>
  <si>
    <t>Using this template means filling it with the sensitive, personal information of your employees. It's important to ensure that this information is kept confidential and protected and not shared beyond the relevant and accredited stakeholders.</t>
  </si>
  <si>
    <t>Head Count Dashboard - General</t>
  </si>
  <si>
    <t>Employees working at the company</t>
  </si>
  <si>
    <t>Languages spoken at the company</t>
  </si>
  <si>
    <t>Nationalities at the company</t>
  </si>
  <si>
    <t>Employees from foreign countries</t>
  </si>
  <si>
    <t>Employees joined the organization this year</t>
  </si>
  <si>
    <t>Employees left the organization this year</t>
  </si>
  <si>
    <t>Average length of service (in years)</t>
  </si>
  <si>
    <t>Quarter 1</t>
  </si>
  <si>
    <t>Quarter 2</t>
  </si>
  <si>
    <t>Employees joined the organization this quarter</t>
  </si>
  <si>
    <t>Employees left the organization this quarter</t>
  </si>
  <si>
    <t>Quarter 3</t>
  </si>
  <si>
    <t>Quarter 4</t>
  </si>
  <si>
    <t>Employee Personal Details</t>
  </si>
  <si>
    <t>Employee Contact Details</t>
  </si>
  <si>
    <t>Emergency Contact Details</t>
  </si>
  <si>
    <t>Employment Details</t>
  </si>
  <si>
    <t>Bank Account Details</t>
  </si>
  <si>
    <t>Termination</t>
  </si>
  <si>
    <t>First name</t>
  </si>
  <si>
    <t>Middle name</t>
  </si>
  <si>
    <t>Last name</t>
  </si>
  <si>
    <t>Language</t>
  </si>
  <si>
    <t>Gender</t>
  </si>
  <si>
    <t>Pronouns</t>
  </si>
  <si>
    <t>Race</t>
  </si>
  <si>
    <t>Citizenship</t>
  </si>
  <si>
    <t>Foreign national</t>
  </si>
  <si>
    <t>Marital status</t>
  </si>
  <si>
    <t>Birth date</t>
  </si>
  <si>
    <t>Age</t>
  </si>
  <si>
    <t>Identification type</t>
  </si>
  <si>
    <t>Identity Number</t>
  </si>
  <si>
    <t>Passport issuing country</t>
  </si>
  <si>
    <t>Passport number</t>
  </si>
  <si>
    <t>Passport issue date</t>
  </si>
  <si>
    <t>Passport expiry date</t>
  </si>
  <si>
    <t>Home number</t>
  </si>
  <si>
    <t>Work number</t>
  </si>
  <si>
    <t>Work extension</t>
  </si>
  <si>
    <t>Cellphone number</t>
  </si>
  <si>
    <t>Email address</t>
  </si>
  <si>
    <t>Street name</t>
  </si>
  <si>
    <t>Suburb/District</t>
  </si>
  <si>
    <t>City/Town</t>
  </si>
  <si>
    <t>Postal code</t>
  </si>
  <si>
    <t>Country</t>
  </si>
  <si>
    <t>Province/State</t>
  </si>
  <si>
    <t>Emergency contact name</t>
  </si>
  <si>
    <t>Emergency contact number</t>
  </si>
  <si>
    <t>Emergency contact address</t>
  </si>
  <si>
    <t>Employee number</t>
  </si>
  <si>
    <t>Start date</t>
  </si>
  <si>
    <t>First quarter</t>
  </si>
  <si>
    <t>Tenure</t>
  </si>
  <si>
    <t>Employment type</t>
  </si>
  <si>
    <t>Employment status</t>
  </si>
  <si>
    <t>Position</t>
  </si>
  <si>
    <t>Business unit</t>
  </si>
  <si>
    <t>Occupational level</t>
  </si>
  <si>
    <t>Reports to</t>
  </si>
  <si>
    <t>Bank account owner</t>
  </si>
  <si>
    <t>Account type</t>
  </si>
  <si>
    <t>Bank name</t>
  </si>
  <si>
    <t>Account number</t>
  </si>
  <si>
    <t>Employment end date</t>
  </si>
  <si>
    <t>Last quarter</t>
  </si>
  <si>
    <t>Reason for termination</t>
  </si>
  <si>
    <t>Enter the first name of the employee</t>
  </si>
  <si>
    <t>Enter the middle name of the employee (if applicable)</t>
  </si>
  <si>
    <t>Enter the last name of the employee</t>
  </si>
  <si>
    <t>Select the language spoken by the employee</t>
  </si>
  <si>
    <t>Select the gender of the employee</t>
  </si>
  <si>
    <t>Select the pronouns of the employee</t>
  </si>
  <si>
    <t>Select the race of the employee</t>
  </si>
  <si>
    <t>Select the citizenship of the employee</t>
  </si>
  <si>
    <t>Is the employee a foreign national?</t>
  </si>
  <si>
    <t>Select the marital status of the employee</t>
  </si>
  <si>
    <t>Enter the birth date of the employee</t>
  </si>
  <si>
    <t>Age of the employee</t>
  </si>
  <si>
    <t>Select the identification type of the employee</t>
  </si>
  <si>
    <t>Enter the identity number of the employee</t>
  </si>
  <si>
    <t>Select the country that issued the employee's passport</t>
  </si>
  <si>
    <t>Enter the employee's passport number</t>
  </si>
  <si>
    <t>Enter the date of issue of the employee's passport</t>
  </si>
  <si>
    <t>Enter the expiration date of the employee's passport</t>
  </si>
  <si>
    <t>Enter the home number of the employee</t>
  </si>
  <si>
    <t>Enter the work number of the employee</t>
  </si>
  <si>
    <t>Enter the work extension of the employee</t>
  </si>
  <si>
    <t>Enter the cellphone number of the employee</t>
  </si>
  <si>
    <t>Enter the email address of the employee</t>
  </si>
  <si>
    <t>Enter the name of the street where the employee lives</t>
  </si>
  <si>
    <t>Enter the suburb or district where the employee lives</t>
  </si>
  <si>
    <t>Enter the city or town where the employee lives</t>
  </si>
  <si>
    <t>Enter the postal code of the employee</t>
  </si>
  <si>
    <t>Enter the country where the employee lives</t>
  </si>
  <si>
    <t>Enter the province or state where the employee lives</t>
  </si>
  <si>
    <t>Enter the name of the employee's emergency contact</t>
  </si>
  <si>
    <t>Enter the number of the employee's emergency contact</t>
  </si>
  <si>
    <t>Enter the address of the employee's emergency contact</t>
  </si>
  <si>
    <t>Enter the employee number</t>
  </si>
  <si>
    <t>Enter the date the employee started in their position</t>
  </si>
  <si>
    <t>Enter the quarter during which the employee joined the company</t>
  </si>
  <si>
    <t>Time in years the employee has been with the organization</t>
  </si>
  <si>
    <t>Select employee type</t>
  </si>
  <si>
    <t>Select employment status</t>
  </si>
  <si>
    <t>Select the employee's position title</t>
  </si>
  <si>
    <t>Select the business unit where the employee works</t>
  </si>
  <si>
    <t>Select the employee's occupational level</t>
  </si>
  <si>
    <t>Select the name of the person the employee reports to</t>
  </si>
  <si>
    <t>Enter the owner of the bank account where the employee will receive their salary</t>
  </si>
  <si>
    <t>Select the type of bank account</t>
  </si>
  <si>
    <t>Select the name of the employee's bank</t>
  </si>
  <si>
    <t>Enter the employee's account number</t>
  </si>
  <si>
    <t>Enter the employee's last day at the company</t>
  </si>
  <si>
    <t>Enter the quarter during which the employee left the company</t>
  </si>
  <si>
    <t xml:space="preserve">Select the reason for termination </t>
  </si>
  <si>
    <t>Filter by name</t>
  </si>
  <si>
    <t>Filter by middle name</t>
  </si>
  <si>
    <t>Filter by last name</t>
  </si>
  <si>
    <t>Filter by language</t>
  </si>
  <si>
    <t>Filter by gender</t>
  </si>
  <si>
    <t>Filter by pronouns</t>
  </si>
  <si>
    <t>Filter by race</t>
  </si>
  <si>
    <t>Filter by citizenship</t>
  </si>
  <si>
    <t>Filter by whether the employee is a foreign national or not</t>
  </si>
  <si>
    <t>Filter by marital status</t>
  </si>
  <si>
    <t>Filter by year of birth</t>
  </si>
  <si>
    <t>Filter by age</t>
  </si>
  <si>
    <t>Filter by identification type</t>
  </si>
  <si>
    <t>Filter by passport issuing country</t>
  </si>
  <si>
    <t>Filter by passport number</t>
  </si>
  <si>
    <t>Filter by passport issue date</t>
  </si>
  <si>
    <t>Filter by passport expiry date</t>
  </si>
  <si>
    <t>Filter by home number</t>
  </si>
  <si>
    <t>Filter by work number</t>
  </si>
  <si>
    <t>Filter by work extension</t>
  </si>
  <si>
    <t>Filter by cellphone number</t>
  </si>
  <si>
    <t>Filter by email address</t>
  </si>
  <si>
    <t>Filter by street name</t>
  </si>
  <si>
    <t>Filter by suburb/district</t>
  </si>
  <si>
    <t>Filter by city/town</t>
  </si>
  <si>
    <t>Filter by postal code</t>
  </si>
  <si>
    <t>Filter by country</t>
  </si>
  <si>
    <t>Filter by province/state</t>
  </si>
  <si>
    <t>Filter by emergency contact name</t>
  </si>
  <si>
    <t>Filter by emergency contact number</t>
  </si>
  <si>
    <t>Filter by emergency contact address</t>
  </si>
  <si>
    <t>Filter by employee number</t>
  </si>
  <si>
    <t>Filter by year</t>
  </si>
  <si>
    <t>Filter by quarter</t>
  </si>
  <si>
    <t>Filter by tenure</t>
  </si>
  <si>
    <t>Filter by employment type</t>
  </si>
  <si>
    <t>Filter by employment status</t>
  </si>
  <si>
    <t>Filter by position</t>
  </si>
  <si>
    <t>Filter by business unit</t>
  </si>
  <si>
    <t>Filter by occupational level</t>
  </si>
  <si>
    <t>Filter by manager</t>
  </si>
  <si>
    <t>Filter by bank account owner</t>
  </si>
  <si>
    <t>Filter by account type</t>
  </si>
  <si>
    <t>Filter by bank</t>
  </si>
  <si>
    <t>Filter by account number</t>
  </si>
  <si>
    <t>Filter by reason for termination</t>
  </si>
  <si>
    <t>N/A</t>
  </si>
  <si>
    <t>Japanese</t>
  </si>
  <si>
    <t>Female</t>
  </si>
  <si>
    <t>She/Her</t>
  </si>
  <si>
    <t>Asian</t>
  </si>
  <si>
    <t>Yes</t>
  </si>
  <si>
    <t>Married</t>
  </si>
  <si>
    <t>Passport</t>
  </si>
  <si>
    <t>Japan</t>
  </si>
  <si>
    <t>United States</t>
  </si>
  <si>
    <t>Full time</t>
  </si>
  <si>
    <t>Active</t>
  </si>
  <si>
    <t>Position 1</t>
  </si>
  <si>
    <t>BU 1</t>
  </si>
  <si>
    <t>Junior management</t>
  </si>
  <si>
    <t>Manager 5</t>
  </si>
  <si>
    <t>Basic bank account</t>
  </si>
  <si>
    <t>Bank 1</t>
  </si>
  <si>
    <t>English</t>
  </si>
  <si>
    <t>Male</t>
  </si>
  <si>
    <t>He/Him</t>
  </si>
  <si>
    <t>Black</t>
  </si>
  <si>
    <t>American</t>
  </si>
  <si>
    <t>No</t>
  </si>
  <si>
    <t>Single</t>
  </si>
  <si>
    <t>Part time</t>
  </si>
  <si>
    <t>Inactive</t>
  </si>
  <si>
    <t>Position 2</t>
  </si>
  <si>
    <t>BU 2</t>
  </si>
  <si>
    <t>Employee</t>
  </si>
  <si>
    <t>Manager 4</t>
  </si>
  <si>
    <t>Current account</t>
  </si>
  <si>
    <t>Bank 2</t>
  </si>
  <si>
    <t>Voluntary termination</t>
  </si>
  <si>
    <t>Spanish</t>
  </si>
  <si>
    <t>They/Them</t>
  </si>
  <si>
    <t>Hispanic or Latino</t>
  </si>
  <si>
    <t>Argentine</t>
  </si>
  <si>
    <t>Argentina</t>
  </si>
  <si>
    <t>Position 3</t>
  </si>
  <si>
    <t>BU 3</t>
  </si>
  <si>
    <t>Manager 3</t>
  </si>
  <si>
    <t>Packaged bank account</t>
  </si>
  <si>
    <t>Other</t>
  </si>
  <si>
    <t>White</t>
  </si>
  <si>
    <t>Position 4</t>
  </si>
  <si>
    <t>BU 4</t>
  </si>
  <si>
    <t>Senior management</t>
  </si>
  <si>
    <t>Manager 2</t>
  </si>
  <si>
    <t>Prefers not to disclose</t>
  </si>
  <si>
    <t>American Indian/Alaska Native</t>
  </si>
  <si>
    <t>Divorced</t>
  </si>
  <si>
    <t>Fixed term</t>
  </si>
  <si>
    <t>Position 5</t>
  </si>
  <si>
    <t>BU 5</t>
  </si>
  <si>
    <t>Management</t>
  </si>
  <si>
    <t>Manager 1</t>
  </si>
  <si>
    <t>Prefers not to identify</t>
  </si>
  <si>
    <t>British</t>
  </si>
  <si>
    <t>Widowed</t>
  </si>
  <si>
    <t>United Kingdom</t>
  </si>
  <si>
    <t>Mandarin Chinese</t>
  </si>
  <si>
    <t>Chinese</t>
  </si>
  <si>
    <t>China</t>
  </si>
  <si>
    <t>French</t>
  </si>
  <si>
    <t>France</t>
  </si>
  <si>
    <t>Portuguese</t>
  </si>
  <si>
    <t>Brazilian</t>
  </si>
  <si>
    <t>Brazil</t>
  </si>
  <si>
    <t>Dutch</t>
  </si>
  <si>
    <t>Netherlands</t>
  </si>
  <si>
    <t>Canadian</t>
  </si>
  <si>
    <t>Canada</t>
  </si>
  <si>
    <t>Hindi</t>
  </si>
  <si>
    <t>Indian</t>
  </si>
  <si>
    <t>India</t>
  </si>
  <si>
    <t>Firing</t>
  </si>
  <si>
    <t>Separated</t>
  </si>
  <si>
    <t>Bolivian</t>
  </si>
  <si>
    <t>Bolivia</t>
  </si>
  <si>
    <t>German</t>
  </si>
  <si>
    <t>Germany</t>
  </si>
  <si>
    <t>Specialist</t>
  </si>
  <si>
    <t>Involuntary termination</t>
  </si>
  <si>
    <t>Colombian</t>
  </si>
  <si>
    <t>Colombia</t>
  </si>
  <si>
    <t>Italian</t>
  </si>
  <si>
    <t>Italy</t>
  </si>
  <si>
    <t>Apprentices and trainees</t>
  </si>
  <si>
    <t>Spain</t>
  </si>
  <si>
    <t>This resource can be used with up to 500 employees before it needs to be reset</t>
  </si>
  <si>
    <t>Business Unit</t>
  </si>
  <si>
    <t>Countries</t>
  </si>
  <si>
    <t>Languages</t>
  </si>
  <si>
    <t>Foreign employees</t>
  </si>
  <si>
    <t>Quarters</t>
  </si>
  <si>
    <t>Ensure that you only replace terms in the blue-outlined cells. All the fields within an outlined blue cell can be updated to reflect the data relevant to your own organization.</t>
  </si>
  <si>
    <t>Afghan</t>
  </si>
  <si>
    <t>Afghanistan</t>
  </si>
  <si>
    <t>Afrikaans</t>
  </si>
  <si>
    <t>ID card</t>
  </si>
  <si>
    <t>Albanian</t>
  </si>
  <si>
    <t>Albania</t>
  </si>
  <si>
    <t>Algerian Arabic</t>
  </si>
  <si>
    <t>Lay off</t>
  </si>
  <si>
    <t>Nonbinary</t>
  </si>
  <si>
    <t>Algerian</t>
  </si>
  <si>
    <t>Algeria</t>
  </si>
  <si>
    <t>Amharic</t>
  </si>
  <si>
    <t>Casual</t>
  </si>
  <si>
    <t>Bank 3</t>
  </si>
  <si>
    <t>Termination for cause</t>
  </si>
  <si>
    <t>Andorra</t>
  </si>
  <si>
    <t>Armenian</t>
  </si>
  <si>
    <t>Student account</t>
  </si>
  <si>
    <t>Bank 4</t>
  </si>
  <si>
    <t>Termination by mutual agreement</t>
  </si>
  <si>
    <t>Andorran</t>
  </si>
  <si>
    <t>Angola</t>
  </si>
  <si>
    <t>Assamese</t>
  </si>
  <si>
    <t>Shift workers</t>
  </si>
  <si>
    <t>Joint bank account</t>
  </si>
  <si>
    <t>Bank 5</t>
  </si>
  <si>
    <t>Termination with prejudice</t>
  </si>
  <si>
    <t>BU 6</t>
  </si>
  <si>
    <t>Angolan</t>
  </si>
  <si>
    <t>Anguilla</t>
  </si>
  <si>
    <t>Bavarian</t>
  </si>
  <si>
    <t>Daily hire and weekly hire</t>
  </si>
  <si>
    <t>Savings account</t>
  </si>
  <si>
    <t>Position 6</t>
  </si>
  <si>
    <t>Manager 6</t>
  </si>
  <si>
    <t>Bank 6</t>
  </si>
  <si>
    <t>Termination without prejudice</t>
  </si>
  <si>
    <t>Executive</t>
  </si>
  <si>
    <t>BU 7</t>
  </si>
  <si>
    <t>Anguillan</t>
  </si>
  <si>
    <t>Antigua and Barbuda</t>
  </si>
  <si>
    <t>Bengali</t>
  </si>
  <si>
    <t>Probation</t>
  </si>
  <si>
    <t>Position 7</t>
  </si>
  <si>
    <t>Manager 7</t>
  </si>
  <si>
    <t>Bank 7</t>
  </si>
  <si>
    <t>BU 8</t>
  </si>
  <si>
    <t>Citizen of Antigua and Barbuda</t>
  </si>
  <si>
    <t>Bhojpuri</t>
  </si>
  <si>
    <t>Position 8</t>
  </si>
  <si>
    <t>Manager 8</t>
  </si>
  <si>
    <t>Bank 8</t>
  </si>
  <si>
    <t>BU 9</t>
  </si>
  <si>
    <t>Armenia</t>
  </si>
  <si>
    <t>Bulgarian</t>
  </si>
  <si>
    <t>Position 9</t>
  </si>
  <si>
    <t>Manager 9</t>
  </si>
  <si>
    <t>Bank 9</t>
  </si>
  <si>
    <t>Wrongful termination</t>
  </si>
  <si>
    <t>BU 10</t>
  </si>
  <si>
    <t>Australia</t>
  </si>
  <si>
    <t>Burmese</t>
  </si>
  <si>
    <t>Position 10</t>
  </si>
  <si>
    <t>Manager 10</t>
  </si>
  <si>
    <t>Bank 10</t>
  </si>
  <si>
    <t>End of a work contract or temporary employment</t>
  </si>
  <si>
    <t>BU 11</t>
  </si>
  <si>
    <t>Australian</t>
  </si>
  <si>
    <t>Austria</t>
  </si>
  <si>
    <t>Cantonese</t>
  </si>
  <si>
    <t>Position 11</t>
  </si>
  <si>
    <t>Manager 11</t>
  </si>
  <si>
    <t>Bank 11</t>
  </si>
  <si>
    <t>BU 12</t>
  </si>
  <si>
    <t>Austrian</t>
  </si>
  <si>
    <t>Azerbaijan</t>
  </si>
  <si>
    <t>Catalan</t>
  </si>
  <si>
    <t>Position 12</t>
  </si>
  <si>
    <t>Manager 12</t>
  </si>
  <si>
    <t>Bank 12</t>
  </si>
  <si>
    <t>BU 13</t>
  </si>
  <si>
    <t>Azerbaijani</t>
  </si>
  <si>
    <t>Bahamas</t>
  </si>
  <si>
    <t>Cebuano</t>
  </si>
  <si>
    <t>Position 13</t>
  </si>
  <si>
    <t>Manager 13</t>
  </si>
  <si>
    <t>Bank 13</t>
  </si>
  <si>
    <t>BU 14</t>
  </si>
  <si>
    <t>Bahamian</t>
  </si>
  <si>
    <t>Bahrain</t>
  </si>
  <si>
    <t>Chhattisgarhi</t>
  </si>
  <si>
    <t>Position 14</t>
  </si>
  <si>
    <t>Manager 14</t>
  </si>
  <si>
    <t>Bank 14</t>
  </si>
  <si>
    <t>Bahraini</t>
  </si>
  <si>
    <t>Bangladesh</t>
  </si>
  <si>
    <t>Chittagonian</t>
  </si>
  <si>
    <t>Position 15</t>
  </si>
  <si>
    <t>Manager 15</t>
  </si>
  <si>
    <t>Bank 15</t>
  </si>
  <si>
    <t>Bangladeshi</t>
  </si>
  <si>
    <t>Barbados</t>
  </si>
  <si>
    <t>Croatian</t>
  </si>
  <si>
    <t>Position 16</t>
  </si>
  <si>
    <t>Barbadian</t>
  </si>
  <si>
    <t>Belarus</t>
  </si>
  <si>
    <t>Czech</t>
  </si>
  <si>
    <t>Position 17</t>
  </si>
  <si>
    <t>Belarusian</t>
  </si>
  <si>
    <t>Belgium</t>
  </si>
  <si>
    <t>Danish</t>
  </si>
  <si>
    <t>Position 18</t>
  </si>
  <si>
    <t>Belgian</t>
  </si>
  <si>
    <t>Belize</t>
  </si>
  <si>
    <t>Deccan</t>
  </si>
  <si>
    <t>Position 19</t>
  </si>
  <si>
    <t>Belizean</t>
  </si>
  <si>
    <t>Benin</t>
  </si>
  <si>
    <t>Position 20</t>
  </si>
  <si>
    <t>Beninese</t>
  </si>
  <si>
    <t>Bermuda</t>
  </si>
  <si>
    <t>Eastern Min</t>
  </si>
  <si>
    <t>Position 21</t>
  </si>
  <si>
    <t>Bermudian</t>
  </si>
  <si>
    <t>Bhutan</t>
  </si>
  <si>
    <t>Eastern Punjabi</t>
  </si>
  <si>
    <t>Position 22</t>
  </si>
  <si>
    <t>Bhutanese</t>
  </si>
  <si>
    <t>Egyptian Arabic</t>
  </si>
  <si>
    <t>Position 23</t>
  </si>
  <si>
    <t>Bosnia and Herzegovina</t>
  </si>
  <si>
    <t>Position 24</t>
  </si>
  <si>
    <t>Citizen of Bosnia and Herzegovina</t>
  </si>
  <si>
    <t>Botswana</t>
  </si>
  <si>
    <t>Estonian</t>
  </si>
  <si>
    <t>Position 25</t>
  </si>
  <si>
    <t>Botswanan</t>
  </si>
  <si>
    <t>Filipino</t>
  </si>
  <si>
    <t>Position 26</t>
  </si>
  <si>
    <t>Brunei Darussalam</t>
  </si>
  <si>
    <t>Finnish</t>
  </si>
  <si>
    <t>Position 27</t>
  </si>
  <si>
    <t>Bulgaria</t>
  </si>
  <si>
    <t>Position 28</t>
  </si>
  <si>
    <t>British Virgin Islander</t>
  </si>
  <si>
    <t>Burkina Faso</t>
  </si>
  <si>
    <t>Gan Chinese</t>
  </si>
  <si>
    <t>Position 29</t>
  </si>
  <si>
    <t>Bruneian</t>
  </si>
  <si>
    <t>Burundi</t>
  </si>
  <si>
    <t>Position 30</t>
  </si>
  <si>
    <t>Cambodia</t>
  </si>
  <si>
    <t>Greek</t>
  </si>
  <si>
    <t>Position 31</t>
  </si>
  <si>
    <t>Burkinan</t>
  </si>
  <si>
    <t>Cameroon</t>
  </si>
  <si>
    <t>Guarani</t>
  </si>
  <si>
    <t>Position 32</t>
  </si>
  <si>
    <t>Gujarati</t>
  </si>
  <si>
    <t>Position 33</t>
  </si>
  <si>
    <t>Burundian</t>
  </si>
  <si>
    <t>Cape Verde</t>
  </si>
  <si>
    <t>Hakka</t>
  </si>
  <si>
    <t>Position 34</t>
  </si>
  <si>
    <t>Cambodian</t>
  </si>
  <si>
    <t>Cayman Islands</t>
  </si>
  <si>
    <t>Hausa</t>
  </si>
  <si>
    <t>Position 35</t>
  </si>
  <si>
    <t>Cameroonian</t>
  </si>
  <si>
    <t>Central African Republic</t>
  </si>
  <si>
    <t>Hejazi Arabic</t>
  </si>
  <si>
    <t>Position 36</t>
  </si>
  <si>
    <t>Chad</t>
  </si>
  <si>
    <t>Position 37</t>
  </si>
  <si>
    <t>Cape Verdean</t>
  </si>
  <si>
    <t>Chile</t>
  </si>
  <si>
    <t>Hungarian</t>
  </si>
  <si>
    <t>Position 38</t>
  </si>
  <si>
    <t>Cayman Islander</t>
  </si>
  <si>
    <t>Igbo</t>
  </si>
  <si>
    <t>Position 39</t>
  </si>
  <si>
    <t>Central African</t>
  </si>
  <si>
    <t>Indonesian</t>
  </si>
  <si>
    <t>Position 40</t>
  </si>
  <si>
    <t>Chadian</t>
  </si>
  <si>
    <t>Comoros</t>
  </si>
  <si>
    <t>Irish</t>
  </si>
  <si>
    <t>Position 41</t>
  </si>
  <si>
    <t>Chilean</t>
  </si>
  <si>
    <t>Cook Islands</t>
  </si>
  <si>
    <t>Iranian Persian</t>
  </si>
  <si>
    <t>Position 42</t>
  </si>
  <si>
    <t>Costa Rica</t>
  </si>
  <si>
    <t>Position 43</t>
  </si>
  <si>
    <t>Croatia</t>
  </si>
  <si>
    <t>Position 44</t>
  </si>
  <si>
    <t>Comoran</t>
  </si>
  <si>
    <t>Cuba</t>
  </si>
  <si>
    <t>Javanese</t>
  </si>
  <si>
    <t>Position 45</t>
  </si>
  <si>
    <t>Congolese (Congo)</t>
  </si>
  <si>
    <t>Cyprus</t>
  </si>
  <si>
    <t>Jin Chinese</t>
  </si>
  <si>
    <t>Position 46</t>
  </si>
  <si>
    <t>Congolese (DRC)</t>
  </si>
  <si>
    <t>Czech Republic</t>
  </si>
  <si>
    <t>Kannada</t>
  </si>
  <si>
    <t>Position 47</t>
  </si>
  <si>
    <t>Cook Islander</t>
  </si>
  <si>
    <t>Democratic Republic of the Congo</t>
  </si>
  <si>
    <t>Kazakh</t>
  </si>
  <si>
    <t>Position 48</t>
  </si>
  <si>
    <t>Costa Rican</t>
  </si>
  <si>
    <t>Denmark</t>
  </si>
  <si>
    <t>Khmer</t>
  </si>
  <si>
    <t>Position 49</t>
  </si>
  <si>
    <t>Djibouti</t>
  </si>
  <si>
    <t>Kinyarwanda</t>
  </si>
  <si>
    <t>Position 50</t>
  </si>
  <si>
    <t>Cuban</t>
  </si>
  <si>
    <t>Dominica</t>
  </si>
  <si>
    <t>Korean</t>
  </si>
  <si>
    <t>Cypriot</t>
  </si>
  <si>
    <t>Dominican Republic</t>
  </si>
  <si>
    <t>Latvian</t>
  </si>
  <si>
    <t>East Timor</t>
  </si>
  <si>
    <t>Lithuanian</t>
  </si>
  <si>
    <t>Ecuador</t>
  </si>
  <si>
    <t>Magahi</t>
  </si>
  <si>
    <t>Djiboutian</t>
  </si>
  <si>
    <t>Egypt</t>
  </si>
  <si>
    <t>Maithili</t>
  </si>
  <si>
    <t>Dominican</t>
  </si>
  <si>
    <t>El Salvador</t>
  </si>
  <si>
    <t>Malayalam</t>
  </si>
  <si>
    <t>Citizen of the Dominican Republic</t>
  </si>
  <si>
    <t>Equatorial Guinea</t>
  </si>
  <si>
    <r>
      <rPr>
        <sz val="12"/>
        <color theme="1"/>
        <rFont val="IBM Plex Sans"/>
      </rPr>
      <t>Malaysian</t>
    </r>
    <r>
      <rPr>
        <sz val="12"/>
        <color theme="1"/>
        <rFont val="Arial"/>
        <family val="2"/>
      </rPr>
      <t> </t>
    </r>
  </si>
  <si>
    <t>Eritrea</t>
  </si>
  <si>
    <t>East Timorese</t>
  </si>
  <si>
    <t>Estonia</t>
  </si>
  <si>
    <t>Marathi</t>
  </si>
  <si>
    <t>Ecuadorean</t>
  </si>
  <si>
    <t>Ethiopia</t>
  </si>
  <si>
    <t>Mesopotamian Arabic</t>
  </si>
  <si>
    <t>Egyptian</t>
  </si>
  <si>
    <t>Faroe Islands</t>
  </si>
  <si>
    <t>Moroccan Arabic</t>
  </si>
  <si>
    <t>Emirati</t>
  </si>
  <si>
    <t>Fiji</t>
  </si>
  <si>
    <t>Nepali</t>
  </si>
  <si>
    <t>Finland</t>
  </si>
  <si>
    <t>Nigerian Fulfulde</t>
  </si>
  <si>
    <t>Equatorial Guinean</t>
  </si>
  <si>
    <t>North Levantine Arabic</t>
  </si>
  <si>
    <t>Eritrean</t>
  </si>
  <si>
    <t>French Guinea</t>
  </si>
  <si>
    <t>Northern Kurdish</t>
  </si>
  <si>
    <t>French Polynesia</t>
  </si>
  <si>
    <t>Northern Min</t>
  </si>
  <si>
    <t>Ethiopian</t>
  </si>
  <si>
    <t>French Southern Territories</t>
  </si>
  <si>
    <t>Northern Pashto</t>
  </si>
  <si>
    <t>Faroese</t>
  </si>
  <si>
    <t>Gabon</t>
  </si>
  <si>
    <t>Northern Uzbek</t>
  </si>
  <si>
    <t>Fijian</t>
  </si>
  <si>
    <t>Gambia</t>
  </si>
  <si>
    <t>Norwegian</t>
  </si>
  <si>
    <t>Georgia</t>
  </si>
  <si>
    <t>Odia</t>
  </si>
  <si>
    <t>Polish</t>
  </si>
  <si>
    <t>Ghana</t>
  </si>
  <si>
    <t>Gabonese</t>
  </si>
  <si>
    <t>Gibraltar</t>
  </si>
  <si>
    <t>Romanian</t>
  </si>
  <si>
    <t>Gambian</t>
  </si>
  <si>
    <t>Greece</t>
  </si>
  <si>
    <t>Rundi</t>
  </si>
  <si>
    <t>Georgian</t>
  </si>
  <si>
    <t>Greenland</t>
  </si>
  <si>
    <t>Russian</t>
  </si>
  <si>
    <t>Grenada</t>
  </si>
  <si>
    <t>Saʽidi Arabic</t>
  </si>
  <si>
    <t>Ghanaian</t>
  </si>
  <si>
    <t>Guadeloupe</t>
  </si>
  <si>
    <t>Sanaani Spoken Arabic</t>
  </si>
  <si>
    <t>Gibraltarian</t>
  </si>
  <si>
    <t>Guam</t>
  </si>
  <si>
    <t>Saraiki</t>
  </si>
  <si>
    <t>Guatemala</t>
  </si>
  <si>
    <t>Serbian</t>
  </si>
  <si>
    <t>Greenlandic</t>
  </si>
  <si>
    <t>Guinea</t>
  </si>
  <si>
    <t>Sindhi</t>
  </si>
  <si>
    <t>Grenadian</t>
  </si>
  <si>
    <t>Guinea-Bissau</t>
  </si>
  <si>
    <t>Sinhalese</t>
  </si>
  <si>
    <t>Guamanian</t>
  </si>
  <si>
    <t>Guyana</t>
  </si>
  <si>
    <t>Slovak</t>
  </si>
  <si>
    <t>Guatemalan</t>
  </si>
  <si>
    <t>Haiti</t>
  </si>
  <si>
    <t>Slovene</t>
  </si>
  <si>
    <t>Citizen of Guinea-Bissau</t>
  </si>
  <si>
    <t>Holy See</t>
  </si>
  <si>
    <t>Somali</t>
  </si>
  <si>
    <t>Guinean</t>
  </si>
  <si>
    <t>Honduras</t>
  </si>
  <si>
    <t>South Azerbaijani</t>
  </si>
  <si>
    <t>Guyanese</t>
  </si>
  <si>
    <t>Hong Kong</t>
  </si>
  <si>
    <t>South Levantine Arabic</t>
  </si>
  <si>
    <t>Haitian</t>
  </si>
  <si>
    <t>Hungary</t>
  </si>
  <si>
    <t>Southern Min</t>
  </si>
  <si>
    <t>Honduran</t>
  </si>
  <si>
    <t>Iceland</t>
  </si>
  <si>
    <t>Southern Pashto</t>
  </si>
  <si>
    <t>Hong Konger</t>
  </si>
  <si>
    <t>Indonesia</t>
  </si>
  <si>
    <t>Sudanese Arabic</t>
  </si>
  <si>
    <t>Icelandic</t>
  </si>
  <si>
    <t>Iran</t>
  </si>
  <si>
    <t>Sunda</t>
  </si>
  <si>
    <t>Iraq</t>
  </si>
  <si>
    <t>Sylheti</t>
  </si>
  <si>
    <t>Ireland</t>
  </si>
  <si>
    <t>Tagalog</t>
  </si>
  <si>
    <t>Iranian</t>
  </si>
  <si>
    <t>Israel</t>
  </si>
  <si>
    <t>Taʽizzi-Adeni Arabic</t>
  </si>
  <si>
    <t>Iraqi</t>
  </si>
  <si>
    <t>Tamil</t>
  </si>
  <si>
    <t>Ivory Coast</t>
  </si>
  <si>
    <t>Telugu</t>
  </si>
  <si>
    <t>Israeli</t>
  </si>
  <si>
    <t>Jamaica</t>
  </si>
  <si>
    <t>Thai</t>
  </si>
  <si>
    <t>Tunisian Arabic</t>
  </si>
  <si>
    <t>Ivorian</t>
  </si>
  <si>
    <t>Jordan</t>
  </si>
  <si>
    <t>Turkish</t>
  </si>
  <si>
    <t>Jamaican</t>
  </si>
  <si>
    <t>Kazakhstan</t>
  </si>
  <si>
    <t>Ukrainian</t>
  </si>
  <si>
    <t>Kenya</t>
  </si>
  <si>
    <r>
      <rPr>
        <sz val="12"/>
        <color theme="1"/>
        <rFont val="IBM Plex Sans"/>
      </rPr>
      <t>Urdu</t>
    </r>
    <r>
      <rPr>
        <sz val="12"/>
        <color theme="1"/>
        <rFont val="Arial"/>
        <family val="2"/>
      </rPr>
      <t> </t>
    </r>
  </si>
  <si>
    <t>Jordanian</t>
  </si>
  <si>
    <t>Kiribati</t>
  </si>
  <si>
    <t>Uyghur</t>
  </si>
  <si>
    <t>Kosovo</t>
  </si>
  <si>
    <t>Vietnamese</t>
  </si>
  <si>
    <t>Kenyan</t>
  </si>
  <si>
    <t>Kuwait</t>
  </si>
  <si>
    <t>Western Punjabi</t>
  </si>
  <si>
    <t>Kittitian</t>
  </si>
  <si>
    <t>Kyrgyzstan</t>
  </si>
  <si>
    <t>Wu Chinese</t>
  </si>
  <si>
    <t>Citizen of Kiribati</t>
  </si>
  <si>
    <t>Lao</t>
  </si>
  <si>
    <t>Xiang Chinese</t>
  </si>
  <si>
    <t>Kosovan</t>
  </si>
  <si>
    <t>Latvia</t>
  </si>
  <si>
    <t>Yoruba</t>
  </si>
  <si>
    <t>Kuwaiti</t>
  </si>
  <si>
    <t>Lebanon</t>
  </si>
  <si>
    <t>Yue Chinese</t>
  </si>
  <si>
    <t>Kyrgyz</t>
  </si>
  <si>
    <t>Lesotho</t>
  </si>
  <si>
    <t>Zulu</t>
  </si>
  <si>
    <t>Liberia</t>
  </si>
  <si>
    <t>Libya</t>
  </si>
  <si>
    <t>Lebanese</t>
  </si>
  <si>
    <t>Liechtenstein</t>
  </si>
  <si>
    <t>Liberian</t>
  </si>
  <si>
    <t>Lithuania</t>
  </si>
  <si>
    <t>Libyan</t>
  </si>
  <si>
    <t>Luxembourg</t>
  </si>
  <si>
    <t>Liechtenstein citizen</t>
  </si>
  <si>
    <t>Macau</t>
  </si>
  <si>
    <t>Madagascar</t>
  </si>
  <si>
    <t>Luxembourger</t>
  </si>
  <si>
    <t>Malaysia</t>
  </si>
  <si>
    <t>Macanese</t>
  </si>
  <si>
    <t>Malawi</t>
  </si>
  <si>
    <t>Macedonian</t>
  </si>
  <si>
    <t>Maldives</t>
  </si>
  <si>
    <t>Malagasy</t>
  </si>
  <si>
    <t>Mali</t>
  </si>
  <si>
    <t>Malawian</t>
  </si>
  <si>
    <t>Malta</t>
  </si>
  <si>
    <t>Malaysian</t>
  </si>
  <si>
    <t>Marshall Islands</t>
  </si>
  <si>
    <t>Maldivian</t>
  </si>
  <si>
    <t>Martinique</t>
  </si>
  <si>
    <t>Malian</t>
  </si>
  <si>
    <t>Mauritania</t>
  </si>
  <si>
    <t>Maltese</t>
  </si>
  <si>
    <t>Mauritius</t>
  </si>
  <si>
    <t>Marshallese</t>
  </si>
  <si>
    <t>Mexico</t>
  </si>
  <si>
    <t>Martiniquais</t>
  </si>
  <si>
    <t>Micronesia</t>
  </si>
  <si>
    <t>Mauritanian</t>
  </si>
  <si>
    <t>Moldova</t>
  </si>
  <si>
    <t>Mauritian</t>
  </si>
  <si>
    <t>Monaco</t>
  </si>
  <si>
    <t>Mexican</t>
  </si>
  <si>
    <t>Mongolia</t>
  </si>
  <si>
    <t>Micronesian</t>
  </si>
  <si>
    <t>Montenegro</t>
  </si>
  <si>
    <t>Moldovan</t>
  </si>
  <si>
    <t>Montserrat</t>
  </si>
  <si>
    <t>Monegasque</t>
  </si>
  <si>
    <t>Morocco</t>
  </si>
  <si>
    <t>Mongolian</t>
  </si>
  <si>
    <t>Mozambique</t>
  </si>
  <si>
    <t>Montenegrin</t>
  </si>
  <si>
    <t>Myanmar</t>
  </si>
  <si>
    <t>Montserratian</t>
  </si>
  <si>
    <t>Namibia</t>
  </si>
  <si>
    <t>Moroccan</t>
  </si>
  <si>
    <t>Nauru</t>
  </si>
  <si>
    <t>Mosotho</t>
  </si>
  <si>
    <t>Nepal</t>
  </si>
  <si>
    <t>Mozambican</t>
  </si>
  <si>
    <t>Namibian</t>
  </si>
  <si>
    <t>New Caledonia</t>
  </si>
  <si>
    <t>Nauruan</t>
  </si>
  <si>
    <t>New Zealand</t>
  </si>
  <si>
    <t>Nepalese</t>
  </si>
  <si>
    <t>Nicaragua</t>
  </si>
  <si>
    <t>New Zealander</t>
  </si>
  <si>
    <t>Niger</t>
  </si>
  <si>
    <t>Nicaraguan</t>
  </si>
  <si>
    <t>Nigeria</t>
  </si>
  <si>
    <t>Nigerian</t>
  </si>
  <si>
    <t>Niue</t>
  </si>
  <si>
    <t>Nigerien</t>
  </si>
  <si>
    <t>North Korea</t>
  </si>
  <si>
    <t>Niuean</t>
  </si>
  <si>
    <t>North Macedonia</t>
  </si>
  <si>
    <t>North Korean</t>
  </si>
  <si>
    <t>Northern Mariana Islands</t>
  </si>
  <si>
    <t>Northern Irish</t>
  </si>
  <si>
    <t>Norway</t>
  </si>
  <si>
    <t>Oman</t>
  </si>
  <si>
    <t>Omani</t>
  </si>
  <si>
    <t>Pakistan</t>
  </si>
  <si>
    <t>Pakistani</t>
  </si>
  <si>
    <t>Palau</t>
  </si>
  <si>
    <t>Palauan</t>
  </si>
  <si>
    <t>Palestinian Territories</t>
  </si>
  <si>
    <t>Palestinian</t>
  </si>
  <si>
    <t>Panama</t>
  </si>
  <si>
    <t>Panamanian</t>
  </si>
  <si>
    <t>Papua New Guinea</t>
  </si>
  <si>
    <t>Papua New Guinean</t>
  </si>
  <si>
    <t>Paraguay</t>
  </si>
  <si>
    <t>Paraguayan</t>
  </si>
  <si>
    <t>Peru</t>
  </si>
  <si>
    <t>Peruvian</t>
  </si>
  <si>
    <t>Philippines</t>
  </si>
  <si>
    <t>Pitcairn Islander</t>
  </si>
  <si>
    <t>Pitcairn Islands</t>
  </si>
  <si>
    <t>Poland</t>
  </si>
  <si>
    <t>Portugal</t>
  </si>
  <si>
    <t>Prydeinig</t>
  </si>
  <si>
    <t>Puerto Rico</t>
  </si>
  <si>
    <t>Puerto Rican</t>
  </si>
  <si>
    <t>Qatar</t>
  </si>
  <si>
    <t>Qatari</t>
  </si>
  <si>
    <t>Republic of Congo</t>
  </si>
  <si>
    <t>Reunion Island</t>
  </si>
  <si>
    <t>Romania</t>
  </si>
  <si>
    <t>Rwandan</t>
  </si>
  <si>
    <t>Russia</t>
  </si>
  <si>
    <t>Salvadorean</t>
  </si>
  <si>
    <t>Rwanda</t>
  </si>
  <si>
    <t>Sammarinese</t>
  </si>
  <si>
    <t>Saint Kitts and Nevis</t>
  </si>
  <si>
    <t>Samoan</t>
  </si>
  <si>
    <t>Saint Lucia</t>
  </si>
  <si>
    <t>Sao Tomean</t>
  </si>
  <si>
    <t>Saint Vincent and the Grenadines</t>
  </si>
  <si>
    <t>Saudi Arabian</t>
  </si>
  <si>
    <t>Samoa</t>
  </si>
  <si>
    <t>Scottish</t>
  </si>
  <si>
    <t>San Marino</t>
  </si>
  <si>
    <t>Senegalese</t>
  </si>
  <si>
    <t>Sao Tome and Principe</t>
  </si>
  <si>
    <t>Saudi Arabia</t>
  </si>
  <si>
    <t>Citizen of Seychelles</t>
  </si>
  <si>
    <t>Senegal</t>
  </si>
  <si>
    <t>Sierra Leonean</t>
  </si>
  <si>
    <t>Serbia</t>
  </si>
  <si>
    <t>Singaporean</t>
  </si>
  <si>
    <t>Seychelles</t>
  </si>
  <si>
    <t>Sierra Leone</t>
  </si>
  <si>
    <t>Slovenian</t>
  </si>
  <si>
    <t>Singapore</t>
  </si>
  <si>
    <t>Solomon Islander</t>
  </si>
  <si>
    <t>Slovakia</t>
  </si>
  <si>
    <t>Slovenia</t>
  </si>
  <si>
    <t>South African</t>
  </si>
  <si>
    <t>Solomon Islands</t>
  </si>
  <si>
    <t>South Korean</t>
  </si>
  <si>
    <t>Somalia</t>
  </si>
  <si>
    <t>South Sudanese</t>
  </si>
  <si>
    <t>South Africa</t>
  </si>
  <si>
    <t>South Korea</t>
  </si>
  <si>
    <t>Sri Lankan</t>
  </si>
  <si>
    <t>St Helenian</t>
  </si>
  <si>
    <t>Sri Lanka</t>
  </si>
  <si>
    <t>St Lucian</t>
  </si>
  <si>
    <t>Sudan</t>
  </si>
  <si>
    <t>Sudanese</t>
  </si>
  <si>
    <t>Suriname</t>
  </si>
  <si>
    <t>Surinamese</t>
  </si>
  <si>
    <t>Swaziland</t>
  </si>
  <si>
    <t>Swazi</t>
  </si>
  <si>
    <t>Sweden</t>
  </si>
  <si>
    <t>Swedish</t>
  </si>
  <si>
    <t>Switzerland</t>
  </si>
  <si>
    <t>Swiss</t>
  </si>
  <si>
    <t>Syria</t>
  </si>
  <si>
    <t>Syrian</t>
  </si>
  <si>
    <t>Tajikistan</t>
  </si>
  <si>
    <t>Taiwanese</t>
  </si>
  <si>
    <t>Taiwan</t>
  </si>
  <si>
    <t>Tajik</t>
  </si>
  <si>
    <t>Tanzania</t>
  </si>
  <si>
    <t>Tanzanian</t>
  </si>
  <si>
    <t>Thailand</t>
  </si>
  <si>
    <t>Tibet</t>
  </si>
  <si>
    <t>Togolese</t>
  </si>
  <si>
    <t>Timor-Leste</t>
  </si>
  <si>
    <t>Tongan</t>
  </si>
  <si>
    <t>Togo</t>
  </si>
  <si>
    <t>Trinidadian</t>
  </si>
  <si>
    <t>Tokelau</t>
  </si>
  <si>
    <t>Tristanian</t>
  </si>
  <si>
    <t>Tonga</t>
  </si>
  <si>
    <t>Tunisian</t>
  </si>
  <si>
    <t>Trinidad and Tobago</t>
  </si>
  <si>
    <t>Tunisia</t>
  </si>
  <si>
    <t>Turkmen</t>
  </si>
  <si>
    <t>Turkmenistan</t>
  </si>
  <si>
    <t>Turks and Caicos Islander</t>
  </si>
  <si>
    <t>Turkey</t>
  </si>
  <si>
    <t>Tuvaluan</t>
  </si>
  <si>
    <t>Turks and Caicos Islands</t>
  </si>
  <si>
    <t>Ugandan</t>
  </si>
  <si>
    <t>Tuvalu</t>
  </si>
  <si>
    <t>Uganda</t>
  </si>
  <si>
    <t>Uruguayan</t>
  </si>
  <si>
    <t>Ukraine</t>
  </si>
  <si>
    <t>Uzbek</t>
  </si>
  <si>
    <t>United Arab Emirates</t>
  </si>
  <si>
    <t>Vatican Citizen</t>
  </si>
  <si>
    <t>Citizen of Vanuatu</t>
  </si>
  <si>
    <t>Venezuelan</t>
  </si>
  <si>
    <t>Uruguay</t>
  </si>
  <si>
    <t>Uzbekistan</t>
  </si>
  <si>
    <t>Vincentian</t>
  </si>
  <si>
    <t>Vanuatu</t>
  </si>
  <si>
    <t>Wallisian</t>
  </si>
  <si>
    <t>Vatican City State</t>
  </si>
  <si>
    <t>Welsh</t>
  </si>
  <si>
    <t>Venezuela</t>
  </si>
  <si>
    <t>Yemeni</t>
  </si>
  <si>
    <t>Vietnam</t>
  </si>
  <si>
    <t>Zambian</t>
  </si>
  <si>
    <t>Virgin Islands (British)</t>
  </si>
  <si>
    <t>Zimbabwean</t>
  </si>
  <si>
    <t>Virgin Islands (U.S.)</t>
  </si>
  <si>
    <t>Wallis and Futuna Islands</t>
  </si>
  <si>
    <t>Western Sahara</t>
  </si>
  <si>
    <t>Yemen</t>
  </si>
  <si>
    <t>Zambia</t>
  </si>
  <si>
    <t>Zimbabwe</t>
  </si>
  <si>
    <t>Employment Status</t>
  </si>
  <si>
    <t>Current Year</t>
  </si>
  <si>
    <t>Foreign Employees</t>
  </si>
  <si>
    <t>Marital Status</t>
  </si>
  <si>
    <t>Ages</t>
  </si>
  <si>
    <t>18-25</t>
  </si>
  <si>
    <t>26-30</t>
  </si>
  <si>
    <t>31-35</t>
  </si>
  <si>
    <t>36-40</t>
  </si>
  <si>
    <t>41-45</t>
  </si>
  <si>
    <t>46-50</t>
  </si>
  <si>
    <t>51-55</t>
  </si>
  <si>
    <t>56-60</t>
  </si>
  <si>
    <t>61-65</t>
  </si>
  <si>
    <t>Employment Type</t>
  </si>
  <si>
    <t>Reports To</t>
  </si>
  <si>
    <t>&lt;1 year</t>
  </si>
  <si>
    <t>1-5 years</t>
  </si>
  <si>
    <t>6-10 years</t>
  </si>
  <si>
    <t>11-15 years</t>
  </si>
  <si>
    <t>16-20 years</t>
  </si>
  <si>
    <t>21-25 years</t>
  </si>
  <si>
    <t>26-30 years</t>
  </si>
  <si>
    <t>&gt;30 years</t>
  </si>
  <si>
    <t>Occupational Level</t>
  </si>
  <si>
    <t>Average lenght of service</t>
  </si>
  <si>
    <t>Employees who joined per quarter</t>
  </si>
  <si>
    <t>Employees who left per quarter</t>
  </si>
  <si>
    <t>New employee gender per quarter</t>
  </si>
  <si>
    <t>Terminated employee gender per quarter</t>
  </si>
  <si>
    <t>New employee race per quarter</t>
  </si>
  <si>
    <t>Terminated employee race per quarter</t>
  </si>
  <si>
    <t>New employee age group per quarter</t>
  </si>
  <si>
    <t>Terminated employee age group per quarter</t>
  </si>
  <si>
    <t>New employee position per quarter</t>
  </si>
  <si>
    <t>Terminated employee position per quarter</t>
  </si>
  <si>
    <r>
      <rPr>
        <sz val="12"/>
        <color rgb="FF002060"/>
        <rFont val="IBM Plex Sans"/>
      </rPr>
      <t>Malaysian</t>
    </r>
    <r>
      <rPr>
        <sz val="14"/>
        <color rgb="FF202122"/>
        <rFont val="Arial"/>
        <family val="2"/>
      </rPr>
      <t> </t>
    </r>
  </si>
  <si>
    <r>
      <rPr>
        <sz val="12"/>
        <color rgb="FF002060"/>
        <rFont val="IBM Plex Sans"/>
      </rPr>
      <t>Urdu</t>
    </r>
    <r>
      <rPr>
        <sz val="14"/>
        <color rgb="FF202122"/>
        <rFont val="Arial"/>
        <family val="2"/>
      </rPr>
      <t> </t>
    </r>
  </si>
  <si>
    <t>New employee business unit per quarter</t>
  </si>
  <si>
    <t>Terminated employee business unit per quarter</t>
  </si>
  <si>
    <t>New employee occupational level per quarter</t>
  </si>
  <si>
    <t>Terminated employee occupational level per quarter</t>
  </si>
  <si>
    <t>Junior Management</t>
  </si>
  <si>
    <t>Senior Management</t>
  </si>
  <si>
    <t>We have added information about 25 fictitious employees as an example. Don't forget to delete or replace these records on the tracking sheet.</t>
  </si>
  <si>
    <r>
      <rPr>
        <b/>
        <sz val="12"/>
        <color rgb="FF002060"/>
        <rFont val="Trebuchet MS"/>
        <family val="2"/>
      </rPr>
      <t>2. Tracking sheet:</t>
    </r>
    <r>
      <rPr>
        <sz val="12"/>
        <color rgb="FF002060"/>
        <rFont val="Trebuchet MS"/>
        <family val="2"/>
      </rPr>
      <t xml:space="preserve"> Can be used to track and monitor data from your workforce </t>
    </r>
  </si>
  <si>
    <r>
      <rPr>
        <b/>
        <sz val="12"/>
        <color rgb="FF002060"/>
        <rFont val="Trebuchet MS"/>
        <family val="2"/>
      </rPr>
      <t xml:space="preserve">3. Demographic descriptions: </t>
    </r>
    <r>
      <rPr>
        <sz val="12"/>
        <color rgb="FF002060"/>
        <rFont val="Trebuchet MS"/>
        <family val="2"/>
      </rPr>
      <t>Allows you to update the fields to be relevant to your own organization</t>
    </r>
  </si>
  <si>
    <r>
      <t>Update the</t>
    </r>
    <r>
      <rPr>
        <b/>
        <sz val="12"/>
        <color rgb="FF002060"/>
        <rFont val="Trebuchet MS"/>
        <family val="2"/>
      </rPr>
      <t xml:space="preserve"> demographic descriptions </t>
    </r>
    <r>
      <rPr>
        <sz val="12"/>
        <color rgb="FF002060"/>
        <rFont val="Trebuchet MS"/>
        <family val="2"/>
      </rPr>
      <t>sheet</t>
    </r>
    <r>
      <rPr>
        <b/>
        <sz val="12"/>
        <color rgb="FF002060"/>
        <rFont val="Trebuchet MS"/>
        <family val="2"/>
      </rPr>
      <t xml:space="preserve"> </t>
    </r>
    <r>
      <rPr>
        <sz val="12"/>
        <color rgb="FF002060"/>
        <rFont val="Trebuchet MS"/>
        <family val="2"/>
      </rPr>
      <t xml:space="preserve">with the relevant information from your organization before you enter data in the tracking sheet. </t>
    </r>
  </si>
  <si>
    <r>
      <t xml:space="preserve">Use the </t>
    </r>
    <r>
      <rPr>
        <b/>
        <sz val="12"/>
        <color rgb="FF002060"/>
        <rFont val="Trebuchet MS"/>
        <family val="2"/>
      </rPr>
      <t>tracking sheet</t>
    </r>
    <r>
      <rPr>
        <sz val="12"/>
        <color rgb="FF002060"/>
        <rFont val="Trebuchet MS"/>
        <family val="2"/>
      </rPr>
      <t xml:space="preserve"> to input your data and, where applicable, use the set drop-downs to update the status. </t>
    </r>
  </si>
  <si>
    <r>
      <t xml:space="preserve">The </t>
    </r>
    <r>
      <rPr>
        <b/>
        <sz val="12"/>
        <color rgb="FF002060"/>
        <rFont val="Trebuchet MS"/>
        <family val="2"/>
      </rPr>
      <t>head count dashboard</t>
    </r>
    <r>
      <rPr>
        <sz val="12"/>
        <color rgb="FF002060"/>
        <rFont val="Trebuchet MS"/>
        <family val="2"/>
      </rPr>
      <t xml:space="preserve"> provides a visual overview of the composition of your workforce to help you make well-informed decisions. This includes a general dashboard showcasing information about your general head count, as well as quarterly dashboards displaying changes to your head count that have happened during a specific quarter.</t>
    </r>
  </si>
  <si>
    <t>Headcount Record</t>
  </si>
  <si>
    <r>
      <t xml:space="preserve">1. Headcount Dashboard: </t>
    </r>
    <r>
      <rPr>
        <sz val="12"/>
        <color rgb="FF002060"/>
        <rFont val="Trebuchet MS"/>
        <family val="2"/>
      </rPr>
      <t>Provides an overview of the composition of your workforce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</si>
</sst>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2"/>
      <color theme="1"/>
      <name val="Roboto"/>
      <scheme val="minor"/>
    </font>
    <font>
      <b/>
      <sz val="12"/>
      <color rgb="FF002060"/>
      <name val="IBM Plex Sans"/>
    </font>
    <font>
      <sz val="12"/>
      <color rgb="FF002060"/>
      <name val="IBM Plex Sans"/>
    </font>
    <font>
      <sz val="12"/>
      <name val="Roboto"/>
    </font>
    <font>
      <sz val="12"/>
      <color theme="1"/>
      <name val="Calibri"/>
      <family val="2"/>
    </font>
    <font>
      <sz val="18"/>
      <color theme="1"/>
      <name val="Roboto"/>
      <scheme val="minor"/>
    </font>
    <font>
      <b/>
      <sz val="18"/>
      <color theme="4"/>
      <name val="IBM Plex Sans"/>
    </font>
    <font>
      <i/>
      <sz val="12"/>
      <color rgb="FF002060"/>
      <name val="IBM Plex Sans"/>
    </font>
    <font>
      <i/>
      <sz val="12"/>
      <color rgb="FF002060"/>
      <name val="Calibri"/>
      <family val="2"/>
    </font>
    <font>
      <i/>
      <sz val="12"/>
      <color theme="1"/>
      <name val="Calibri"/>
      <family val="2"/>
    </font>
    <font>
      <sz val="12"/>
      <color rgb="FF002060"/>
      <name val="Calibri"/>
      <family val="2"/>
    </font>
    <font>
      <sz val="18"/>
      <color theme="4"/>
      <name val="IBM Plex Sans"/>
    </font>
    <font>
      <i/>
      <sz val="12"/>
      <color theme="1"/>
      <name val="IBM Plex Sans"/>
    </font>
    <font>
      <sz val="12"/>
      <color theme="1"/>
      <name val="IBM Plex Sans"/>
    </font>
    <font>
      <u/>
      <sz val="12"/>
      <color theme="1"/>
      <name val="IBM Plex Sans"/>
    </font>
    <font>
      <sz val="16"/>
      <color rgb="FF002060"/>
      <name val="IBM Plex Sans"/>
    </font>
    <font>
      <b/>
      <sz val="14"/>
      <color theme="0"/>
      <name val="IBM Plex Sans"/>
    </font>
    <font>
      <sz val="12"/>
      <color theme="1"/>
      <name val="Arial"/>
      <family val="2"/>
    </font>
    <font>
      <sz val="14"/>
      <color rgb="FF202122"/>
      <name val="Arial"/>
      <family val="2"/>
    </font>
    <font>
      <sz val="8"/>
      <name val="Roboto"/>
      <scheme val="minor"/>
    </font>
    <font>
      <sz val="12"/>
      <color theme="1"/>
      <name val="Trebuchet MS"/>
      <family val="2"/>
    </font>
    <font>
      <b/>
      <sz val="48"/>
      <color rgb="FFB0E7FF"/>
      <name val="Trebuchet MS"/>
      <family val="2"/>
    </font>
    <font>
      <sz val="12"/>
      <name val="Trebuchet MS"/>
      <family val="2"/>
    </font>
    <font>
      <sz val="12"/>
      <color rgb="FF002060"/>
      <name val="Trebuchet MS"/>
      <family val="2"/>
    </font>
    <font>
      <b/>
      <sz val="24"/>
      <color theme="0"/>
      <name val="Trebuchet MS"/>
      <family val="2"/>
    </font>
    <font>
      <b/>
      <sz val="48"/>
      <color rgb="FF17B7F2"/>
      <name val="Trebuchet MS"/>
      <family val="2"/>
    </font>
    <font>
      <b/>
      <sz val="14"/>
      <color rgb="FF002060"/>
      <name val="Trebuchet MS"/>
      <family val="2"/>
    </font>
    <font>
      <sz val="24"/>
      <color theme="1"/>
      <name val="Trebuchet MS"/>
      <family val="2"/>
    </font>
    <font>
      <b/>
      <sz val="18"/>
      <color rgb="FF002060"/>
      <name val="Trebuchet MS"/>
      <family val="2"/>
    </font>
    <font>
      <sz val="18"/>
      <color theme="1"/>
      <name val="Trebuchet MS"/>
      <family val="2"/>
    </font>
    <font>
      <b/>
      <sz val="36"/>
      <color rgb="FF002060"/>
      <name val="Trebuchet MS"/>
      <family val="2"/>
    </font>
    <font>
      <b/>
      <sz val="12"/>
      <color rgb="FF002060"/>
      <name val="Trebuchet MS"/>
      <family val="2"/>
    </font>
    <font>
      <b/>
      <sz val="12"/>
      <color rgb="FFE9FAFF"/>
      <name val="Trebuchet MS"/>
      <family val="2"/>
    </font>
    <font>
      <sz val="10"/>
      <color rgb="FF000000"/>
      <name val="Roboto"/>
      <family val="2"/>
      <scheme val="minor"/>
    </font>
    <font>
      <sz val="12"/>
      <color theme="0"/>
      <name val="Trebuchet MS"/>
      <family val="2"/>
    </font>
    <font>
      <b/>
      <sz val="36"/>
      <color theme="0"/>
      <name val="Trebuchet MS"/>
      <family val="2"/>
    </font>
  </fonts>
  <fills count="10">
    <fill>
      <patternFill patternType="none"/>
    </fill>
    <fill>
      <patternFill patternType="gray125"/>
    </fill>
    <fill>
      <patternFill patternType="solid">
        <fgColor rgb="FFE9FAFF"/>
        <bgColor rgb="FFE9FAFF"/>
      </patternFill>
    </fill>
    <fill>
      <patternFill patternType="solid">
        <fgColor rgb="FF002060"/>
        <bgColor rgb="FF002060"/>
      </patternFill>
    </fill>
    <fill>
      <patternFill patternType="solid">
        <fgColor theme="0"/>
        <bgColor theme="0"/>
      </patternFill>
    </fill>
    <fill>
      <patternFill patternType="solid">
        <fgColor rgb="FF17B7F2"/>
        <bgColor rgb="FF17B7F2"/>
      </patternFill>
    </fill>
    <fill>
      <patternFill patternType="solid">
        <fgColor rgb="FFDFDEFF"/>
        <bgColor rgb="FFDFDEFF"/>
      </patternFill>
    </fill>
    <fill>
      <patternFill patternType="solid">
        <fgColor theme="1"/>
        <bgColor theme="1"/>
      </patternFill>
    </fill>
    <fill>
      <patternFill patternType="solid">
        <fgColor theme="0"/>
        <bgColor indexed="64"/>
      </patternFill>
    </fill>
    <fill>
      <patternFill patternType="solid">
        <fgColor rgb="FF31216B"/>
        <bgColor indexed="64"/>
      </patternFill>
    </fill>
  </fills>
  <borders count="83">
    <border>
      <left/>
      <right/>
      <top/>
      <bottom/>
      <diagonal/>
    </border>
    <border>
      <left style="thick">
        <color rgb="FF002060"/>
      </left>
      <right style="medium">
        <color rgb="FF002060"/>
      </right>
      <top style="thick">
        <color rgb="FF002060"/>
      </top>
      <bottom style="medium">
        <color rgb="FF002060"/>
      </bottom>
      <diagonal/>
    </border>
    <border>
      <left style="medium">
        <color rgb="FF002060"/>
      </left>
      <right style="thick">
        <color rgb="FF002060"/>
      </right>
      <top style="thick">
        <color rgb="FF002060"/>
      </top>
      <bottom style="medium">
        <color rgb="FF002060"/>
      </bottom>
      <diagonal/>
    </border>
    <border>
      <left style="thick">
        <color rgb="FF002060"/>
      </left>
      <right style="medium">
        <color rgb="FF002060"/>
      </right>
      <top style="medium">
        <color rgb="FF002060"/>
      </top>
      <bottom/>
      <diagonal/>
    </border>
    <border>
      <left style="medium">
        <color rgb="FF002060"/>
      </left>
      <right style="thick">
        <color rgb="FF002060"/>
      </right>
      <top style="medium">
        <color rgb="FF002060"/>
      </top>
      <bottom style="medium">
        <color rgb="FF002060"/>
      </bottom>
      <diagonal/>
    </border>
    <border>
      <left style="thick">
        <color rgb="FF002060"/>
      </left>
      <right style="medium">
        <color rgb="FF002060"/>
      </right>
      <top/>
      <bottom/>
      <diagonal/>
    </border>
    <border>
      <left style="thick">
        <color rgb="FF002060"/>
      </left>
      <right style="medium">
        <color rgb="FF002060"/>
      </right>
      <top/>
      <bottom style="medium">
        <color rgb="FF002060"/>
      </bottom>
      <diagonal/>
    </border>
    <border>
      <left style="medium">
        <color rgb="FF002060"/>
      </left>
      <right style="thick">
        <color rgb="FF002060"/>
      </right>
      <top style="medium">
        <color rgb="FF002060"/>
      </top>
      <bottom/>
      <diagonal/>
    </border>
    <border>
      <left style="thick">
        <color rgb="FF002060"/>
      </left>
      <right/>
      <top style="thick">
        <color rgb="FF002060"/>
      </top>
      <bottom style="thick">
        <color rgb="FF002060"/>
      </bottom>
      <diagonal/>
    </border>
    <border>
      <left/>
      <right style="thick">
        <color rgb="FF002060"/>
      </right>
      <top style="thick">
        <color rgb="FF002060"/>
      </top>
      <bottom style="thick">
        <color rgb="FF002060"/>
      </bottom>
      <diagonal/>
    </border>
    <border>
      <left style="medium">
        <color rgb="FF002060"/>
      </left>
      <right style="thick">
        <color rgb="FF002060"/>
      </right>
      <top/>
      <bottom style="medium">
        <color rgb="FF002060"/>
      </bottom>
      <diagonal/>
    </border>
    <border>
      <left style="thick">
        <color rgb="FF002060"/>
      </left>
      <right style="medium">
        <color rgb="FF002060"/>
      </right>
      <top style="medium">
        <color rgb="FF002060"/>
      </top>
      <bottom style="medium">
        <color rgb="FF002060"/>
      </bottom>
      <diagonal/>
    </border>
    <border>
      <left style="thick">
        <color rgb="FF002060"/>
      </left>
      <right style="medium">
        <color rgb="FF002060"/>
      </right>
      <top style="medium">
        <color rgb="FF002060"/>
      </top>
      <bottom style="thick">
        <color rgb="FF002060"/>
      </bottom>
      <diagonal/>
    </border>
    <border>
      <left style="medium">
        <color rgb="FF002060"/>
      </left>
      <right style="thick">
        <color rgb="FF002060"/>
      </right>
      <top style="medium">
        <color rgb="FF002060"/>
      </top>
      <bottom style="thick">
        <color rgb="FF002060"/>
      </bottom>
      <diagonal/>
    </border>
    <border>
      <left/>
      <right/>
      <top/>
      <bottom/>
      <diagonal/>
    </border>
    <border>
      <left/>
      <right/>
      <top/>
      <bottom/>
      <diagonal/>
    </border>
    <border>
      <left/>
      <right/>
      <top/>
      <bottom/>
      <diagonal/>
    </border>
    <border>
      <left/>
      <right/>
      <top/>
      <bottom/>
      <diagonal/>
    </border>
    <border>
      <left style="thin">
        <color rgb="FF17B7F2"/>
      </left>
      <right/>
      <top style="thin">
        <color rgb="FF17B7F2"/>
      </top>
      <bottom style="thin">
        <color rgb="FF17B7F2"/>
      </bottom>
      <diagonal/>
    </border>
    <border>
      <left/>
      <right/>
      <top style="thin">
        <color rgb="FF17B7F2"/>
      </top>
      <bottom style="thin">
        <color rgb="FF17B7F2"/>
      </bottom>
      <diagonal/>
    </border>
    <border>
      <left/>
      <right style="thin">
        <color rgb="FF17B7F2"/>
      </right>
      <top style="thin">
        <color rgb="FF17B7F2"/>
      </top>
      <bottom style="thin">
        <color rgb="FF17B7F2"/>
      </bottom>
      <diagonal/>
    </border>
    <border>
      <left style="thin">
        <color rgb="FF17B7F2"/>
      </left>
      <right/>
      <top/>
      <bottom/>
      <diagonal/>
    </border>
    <border>
      <left/>
      <right/>
      <top style="thin">
        <color rgb="FF17B7F2"/>
      </top>
      <bottom/>
      <diagonal/>
    </border>
    <border>
      <left/>
      <right/>
      <top style="thin">
        <color rgb="FF17B7F2"/>
      </top>
      <bottom/>
      <diagonal/>
    </border>
    <border>
      <left style="thin">
        <color rgb="FF17B7F2"/>
      </left>
      <right/>
      <top style="thin">
        <color rgb="FF17B7F2"/>
      </top>
      <bottom/>
      <diagonal/>
    </border>
    <border>
      <left/>
      <right/>
      <top style="thin">
        <color rgb="FF17B7F2"/>
      </top>
      <bottom/>
      <diagonal/>
    </border>
    <border>
      <left/>
      <right style="thin">
        <color rgb="FF17B7F2"/>
      </right>
      <top style="thin">
        <color rgb="FF17B7F2"/>
      </top>
      <bottom/>
      <diagonal/>
    </border>
    <border>
      <left/>
      <right/>
      <top style="thin">
        <color rgb="FF17B7F2"/>
      </top>
      <bottom/>
      <diagonal/>
    </border>
    <border>
      <left style="thin">
        <color rgb="FF17B7F2"/>
      </left>
      <right/>
      <top/>
      <bottom/>
      <diagonal/>
    </border>
    <border>
      <left style="thin">
        <color rgb="FF17B7F2"/>
      </left>
      <right/>
      <top/>
      <bottom style="thin">
        <color rgb="FF17B7F2"/>
      </bottom>
      <diagonal/>
    </border>
    <border>
      <left/>
      <right/>
      <top/>
      <bottom style="thin">
        <color rgb="FF17B7F2"/>
      </bottom>
      <diagonal/>
    </border>
    <border>
      <left/>
      <right/>
      <top/>
      <bottom style="thin">
        <color rgb="FF17B7F2"/>
      </bottom>
      <diagonal/>
    </border>
    <border>
      <left/>
      <right style="thin">
        <color rgb="FF17B7F2"/>
      </right>
      <top/>
      <bottom style="thin">
        <color rgb="FF17B7F2"/>
      </bottom>
      <diagonal/>
    </border>
    <border>
      <left style="thin">
        <color rgb="FF17B7F2"/>
      </left>
      <right style="thin">
        <color rgb="FF17B7F2"/>
      </right>
      <top/>
      <bottom/>
      <diagonal/>
    </border>
    <border>
      <left/>
      <right/>
      <top/>
      <bottom style="thin">
        <color rgb="FF002060"/>
      </bottom>
      <diagonal/>
    </border>
    <border>
      <left/>
      <right/>
      <top/>
      <bottom style="thin">
        <color rgb="FF002060"/>
      </bottom>
      <diagonal/>
    </border>
    <border>
      <left/>
      <right style="thick">
        <color rgb="FF002060"/>
      </right>
      <top/>
      <bottom style="thin">
        <color rgb="FF002060"/>
      </bottom>
      <diagonal/>
    </border>
    <border>
      <left/>
      <right/>
      <top/>
      <bottom style="thin">
        <color rgb="FF002060"/>
      </bottom>
      <diagonal/>
    </border>
    <border>
      <left style="thick">
        <color rgb="FF002060"/>
      </left>
      <right/>
      <top/>
      <bottom style="thin">
        <color rgb="FF002060"/>
      </bottom>
      <diagonal/>
    </border>
    <border>
      <left style="thick">
        <color rgb="FF002060"/>
      </left>
      <right/>
      <top style="thick">
        <color rgb="FF002060"/>
      </top>
      <bottom style="thin">
        <color rgb="FF002060"/>
      </bottom>
      <diagonal/>
    </border>
    <border>
      <left/>
      <right/>
      <top style="thick">
        <color rgb="FF002060"/>
      </top>
      <bottom style="thin">
        <color rgb="FF002060"/>
      </bottom>
      <diagonal/>
    </border>
    <border>
      <left/>
      <right style="thick">
        <color rgb="FF002060"/>
      </right>
      <top style="thick">
        <color rgb="FF002060"/>
      </top>
      <bottom style="thin">
        <color rgb="FF002060"/>
      </bottom>
      <diagonal/>
    </border>
    <border>
      <left style="thin">
        <color rgb="FF002060"/>
      </left>
      <right style="thin">
        <color rgb="FF002060"/>
      </right>
      <top style="thin">
        <color rgb="FF002060"/>
      </top>
      <bottom style="thin">
        <color rgb="FF002060"/>
      </bottom>
      <diagonal/>
    </border>
    <border>
      <left/>
      <right style="thin">
        <color rgb="FF002060"/>
      </right>
      <top style="thin">
        <color rgb="FF002060"/>
      </top>
      <bottom style="thin">
        <color rgb="FF002060"/>
      </bottom>
      <diagonal/>
    </border>
    <border>
      <left/>
      <right style="thick">
        <color rgb="FF002060"/>
      </right>
      <top style="thin">
        <color rgb="FF002060"/>
      </top>
      <bottom style="thin">
        <color rgb="FF002060"/>
      </bottom>
      <diagonal/>
    </border>
    <border>
      <left style="thin">
        <color rgb="FF002060"/>
      </left>
      <right/>
      <top style="thin">
        <color rgb="FF002060"/>
      </top>
      <bottom style="thin">
        <color rgb="FF002060"/>
      </bottom>
      <diagonal/>
    </border>
    <border>
      <left style="thick">
        <color rgb="FF002060"/>
      </left>
      <right style="thin">
        <color rgb="FF002060"/>
      </right>
      <top style="thin">
        <color rgb="FF002060"/>
      </top>
      <bottom style="thin">
        <color rgb="FF002060"/>
      </bottom>
      <diagonal/>
    </border>
    <border>
      <left style="thin">
        <color rgb="FF002060"/>
      </left>
      <right style="thick">
        <color rgb="FF002060"/>
      </right>
      <top style="thin">
        <color rgb="FF002060"/>
      </top>
      <bottom style="thin">
        <color rgb="FF002060"/>
      </bottom>
      <diagonal/>
    </border>
    <border>
      <left style="thick">
        <color rgb="FF002060"/>
      </left>
      <right/>
      <top style="thin">
        <color rgb="FF002060"/>
      </top>
      <bottom style="thin">
        <color rgb="FF002060"/>
      </bottom>
      <diagonal/>
    </border>
    <border>
      <left style="thin">
        <color rgb="FF002060"/>
      </left>
      <right/>
      <top style="thin">
        <color rgb="FF002060"/>
      </top>
      <bottom style="thin">
        <color rgb="FF002060"/>
      </bottom>
      <diagonal/>
    </border>
    <border>
      <left/>
      <right style="thick">
        <color rgb="FF002060"/>
      </right>
      <top style="thin">
        <color rgb="FF002060"/>
      </top>
      <bottom style="thin">
        <color rgb="FF002060"/>
      </bottom>
      <diagonal/>
    </border>
    <border>
      <left/>
      <right style="thin">
        <color rgb="FF002060"/>
      </right>
      <top style="thin">
        <color rgb="FF002060"/>
      </top>
      <bottom style="thin">
        <color rgb="FF002060"/>
      </bottom>
      <diagonal/>
    </border>
    <border>
      <left style="thick">
        <color rgb="FF002060"/>
      </left>
      <right/>
      <top style="thin">
        <color rgb="FF002060"/>
      </top>
      <bottom style="thin">
        <color rgb="FF002060"/>
      </bottom>
      <diagonal/>
    </border>
    <border>
      <left/>
      <right/>
      <top style="thin">
        <color rgb="FF002060"/>
      </top>
      <bottom style="thin">
        <color rgb="FF002060"/>
      </bottom>
      <diagonal/>
    </border>
    <border>
      <left style="thick">
        <color rgb="FF002060"/>
      </left>
      <right/>
      <top/>
      <bottom/>
      <diagonal/>
    </border>
    <border>
      <left/>
      <right style="thick">
        <color rgb="FF002060"/>
      </right>
      <top/>
      <bottom/>
      <diagonal/>
    </border>
    <border>
      <left style="thick">
        <color rgb="FF002060"/>
      </left>
      <right/>
      <top/>
      <bottom style="thick">
        <color rgb="FF002060"/>
      </bottom>
      <diagonal/>
    </border>
    <border>
      <left/>
      <right/>
      <top/>
      <bottom style="thick">
        <color rgb="FF002060"/>
      </bottom>
      <diagonal/>
    </border>
    <border>
      <left/>
      <right style="thick">
        <color rgb="FF002060"/>
      </right>
      <top/>
      <bottom style="thick">
        <color rgb="FF002060"/>
      </bottom>
      <diagonal/>
    </border>
    <border>
      <left/>
      <right style="thin">
        <color rgb="FFD4D4D4"/>
      </right>
      <top/>
      <bottom style="thin">
        <color rgb="FF00B0F0"/>
      </bottom>
      <diagonal/>
    </border>
    <border>
      <left style="thin">
        <color rgb="FFD4D4D4"/>
      </left>
      <right style="thin">
        <color rgb="FFD4D4D4"/>
      </right>
      <top/>
      <bottom style="thin">
        <color rgb="FF00B0F0"/>
      </bottom>
      <diagonal/>
    </border>
    <border>
      <left style="thin">
        <color rgb="FFD4D4D4"/>
      </left>
      <right/>
      <top/>
      <bottom style="thin">
        <color rgb="FF00B0F0"/>
      </bottom>
      <diagonal/>
    </border>
    <border>
      <left style="thin">
        <color rgb="FFD4D4D4"/>
      </left>
      <right/>
      <top/>
      <bottom/>
      <diagonal/>
    </border>
    <border>
      <left style="thin">
        <color rgb="FF17B7F2"/>
      </left>
      <right style="thin">
        <color rgb="FF17B7F2"/>
      </right>
      <top style="thin">
        <color rgb="FF00B0F0"/>
      </top>
      <bottom style="thin">
        <color rgb="FF17B7F2"/>
      </bottom>
      <diagonal/>
    </border>
    <border>
      <left style="thin">
        <color rgb="FF17B7F2"/>
      </left>
      <right style="thin">
        <color rgb="FF17B7F2"/>
      </right>
      <top/>
      <bottom style="thin">
        <color rgb="FF17B7F2"/>
      </bottom>
      <diagonal/>
    </border>
    <border>
      <left style="thin">
        <color rgb="FF17B7F2"/>
      </left>
      <right style="thin">
        <color rgb="FF17B7F2"/>
      </right>
      <top style="thin">
        <color rgb="FF17B7F2"/>
      </top>
      <bottom style="thin">
        <color rgb="FF17B7F2"/>
      </bottom>
      <diagonal/>
    </border>
    <border>
      <left style="thin">
        <color rgb="FF17B7F2"/>
      </left>
      <right style="thin">
        <color rgb="FF17B7F2"/>
      </right>
      <top style="thin">
        <color rgb="FF17B7F2"/>
      </top>
      <bottom style="thick">
        <color rgb="FF17B7F2"/>
      </bottom>
      <diagonal/>
    </border>
    <border>
      <left style="thin">
        <color rgb="FF17B7F2"/>
      </left>
      <right/>
      <top style="thin">
        <color rgb="FF17B7F2"/>
      </top>
      <bottom style="thick">
        <color rgb="FF17B7F2"/>
      </bottom>
      <diagonal/>
    </border>
    <border>
      <left style="thin">
        <color rgb="FF17B7F2"/>
      </left>
      <right/>
      <top/>
      <bottom style="thin">
        <color rgb="FF17B7F2"/>
      </bottom>
      <diagonal/>
    </border>
    <border>
      <left style="thin">
        <color rgb="FF17B7F2"/>
      </left>
      <right style="thin">
        <color rgb="FF17B7F2"/>
      </right>
      <top style="thin">
        <color rgb="FF17B7F2"/>
      </top>
      <bottom/>
      <diagonal/>
    </border>
    <border>
      <left style="thin">
        <color rgb="FF002060"/>
      </left>
      <right style="thick">
        <color theme="1"/>
      </right>
      <top style="thin">
        <color rgb="FF002060"/>
      </top>
      <bottom style="thin">
        <color rgb="FF002060"/>
      </bottom>
      <diagonal/>
    </border>
    <border>
      <left/>
      <right style="thin">
        <color rgb="FF1EBBF0"/>
      </right>
      <top/>
      <bottom/>
      <diagonal/>
    </border>
    <border>
      <left style="thin">
        <color rgb="FF1EBBF0"/>
      </left>
      <right/>
      <top style="thin">
        <color rgb="FF1EBBF0"/>
      </top>
      <bottom style="thin">
        <color rgb="FF1EBBF0"/>
      </bottom>
      <diagonal/>
    </border>
    <border>
      <left/>
      <right/>
      <top style="thin">
        <color rgb="FF1EBBF0"/>
      </top>
      <bottom style="thin">
        <color rgb="FF1EBBF0"/>
      </bottom>
      <diagonal/>
    </border>
    <border>
      <left/>
      <right style="thin">
        <color rgb="FF1EBBF0"/>
      </right>
      <top style="thin">
        <color rgb="FF1EBBF0"/>
      </top>
      <bottom style="thin">
        <color rgb="FF1EBBF0"/>
      </bottom>
      <diagonal/>
    </border>
    <border>
      <left style="medium">
        <color rgb="FF30206B"/>
      </left>
      <right/>
      <top style="medium">
        <color rgb="FF30206B"/>
      </top>
      <bottom/>
      <diagonal/>
    </border>
    <border>
      <left/>
      <right/>
      <top style="medium">
        <color rgb="FF30206B"/>
      </top>
      <bottom/>
      <diagonal/>
    </border>
    <border>
      <left/>
      <right style="medium">
        <color rgb="FF30206B"/>
      </right>
      <top style="medium">
        <color rgb="FF30206B"/>
      </top>
      <bottom/>
      <diagonal/>
    </border>
    <border>
      <left style="medium">
        <color rgb="FF30206B"/>
      </left>
      <right/>
      <top/>
      <bottom/>
      <diagonal/>
    </border>
    <border>
      <left/>
      <right style="medium">
        <color rgb="FF30206B"/>
      </right>
      <top/>
      <bottom/>
      <diagonal/>
    </border>
    <border>
      <left style="medium">
        <color rgb="FF30206B"/>
      </left>
      <right/>
      <top/>
      <bottom style="medium">
        <color rgb="FF30206B"/>
      </bottom>
      <diagonal/>
    </border>
    <border>
      <left/>
      <right/>
      <top/>
      <bottom style="medium">
        <color rgb="FF30206B"/>
      </bottom>
      <diagonal/>
    </border>
    <border>
      <left/>
      <right style="medium">
        <color rgb="FF30206B"/>
      </right>
      <top/>
      <bottom style="medium">
        <color rgb="FF30206B"/>
      </bottom>
      <diagonal/>
    </border>
  </borders>
  <cellStyleXfs count="3">
    <xf numFmtId="0" fontId="0" fillId="0" borderId="0"/>
    <xf numFmtId="0" fontId="33" fillId="0" borderId="17"/>
    <xf numFmtId="0" fontId="33" fillId="0" borderId="17"/>
  </cellStyleXfs>
  <cellXfs count="182">
    <xf numFmtId="0" fontId="0" fillId="0" borderId="0" xfId="0"/>
    <xf numFmtId="0" fontId="6" fillId="7" borderId="16" xfId="0" applyFont="1" applyFill="1" applyBorder="1" applyAlignment="1">
      <alignment horizontal="center" vertical="center"/>
    </xf>
    <xf numFmtId="0" fontId="11" fillId="7" borderId="0" xfId="0" applyFont="1" applyFill="1" applyAlignment="1">
      <alignment vertical="center"/>
    </xf>
    <xf numFmtId="0" fontId="12" fillId="2" borderId="59" xfId="0" applyFont="1" applyFill="1" applyBorder="1" applyAlignment="1">
      <alignment horizontal="left" vertical="center" wrapText="1"/>
    </xf>
    <xf numFmtId="0" fontId="12" fillId="2" borderId="60" xfId="0" applyFont="1" applyFill="1" applyBorder="1" applyAlignment="1">
      <alignment horizontal="left" vertical="center" wrapText="1"/>
    </xf>
    <xf numFmtId="0" fontId="12" fillId="2" borderId="16" xfId="0" applyFont="1" applyFill="1" applyBorder="1" applyAlignment="1">
      <alignment horizontal="left" vertical="center" wrapText="1"/>
    </xf>
    <xf numFmtId="0" fontId="12" fillId="2" borderId="61" xfId="0" applyFont="1" applyFill="1" applyBorder="1" applyAlignment="1">
      <alignment horizontal="left" vertical="center" wrapText="1"/>
    </xf>
    <xf numFmtId="0" fontId="13" fillId="2" borderId="62" xfId="0" applyFont="1" applyFill="1" applyBorder="1" applyAlignment="1">
      <alignment horizontal="left" vertical="center"/>
    </xf>
    <xf numFmtId="0" fontId="13" fillId="2" borderId="16" xfId="0" applyFont="1" applyFill="1" applyBorder="1" applyAlignment="1">
      <alignment horizontal="left" vertical="center"/>
    </xf>
    <xf numFmtId="0" fontId="13" fillId="0" borderId="63" xfId="0" applyFont="1" applyBorder="1" applyAlignment="1">
      <alignment vertical="center"/>
    </xf>
    <xf numFmtId="0" fontId="13" fillId="0" borderId="64" xfId="0" applyFont="1" applyBorder="1" applyAlignment="1">
      <alignment vertical="center"/>
    </xf>
    <xf numFmtId="0" fontId="13" fillId="0" borderId="0" xfId="0" applyFont="1" applyAlignment="1">
      <alignment vertical="center"/>
    </xf>
    <xf numFmtId="0" fontId="13" fillId="0" borderId="65" xfId="0" applyFont="1" applyBorder="1" applyAlignment="1">
      <alignment vertical="center"/>
    </xf>
    <xf numFmtId="0" fontId="4" fillId="0" borderId="65" xfId="0" applyFont="1" applyBorder="1" applyAlignment="1">
      <alignment vertical="center"/>
    </xf>
    <xf numFmtId="0" fontId="14" fillId="0" borderId="65" xfId="0" applyFont="1" applyBorder="1" applyAlignment="1">
      <alignment vertical="center"/>
    </xf>
    <xf numFmtId="0" fontId="13" fillId="0" borderId="0" xfId="0" applyFont="1"/>
    <xf numFmtId="0" fontId="16" fillId="5" borderId="16" xfId="0" applyFont="1" applyFill="1" applyBorder="1" applyAlignment="1">
      <alignment horizontal="center"/>
    </xf>
    <xf numFmtId="0" fontId="2" fillId="0" borderId="65" xfId="0" applyFont="1" applyBorder="1"/>
    <xf numFmtId="0" fontId="2" fillId="0" borderId="18" xfId="0" applyFont="1" applyBorder="1"/>
    <xf numFmtId="0" fontId="4" fillId="0" borderId="65" xfId="0" applyFont="1" applyBorder="1"/>
    <xf numFmtId="0" fontId="2" fillId="0" borderId="66" xfId="0" applyFont="1" applyBorder="1"/>
    <xf numFmtId="0" fontId="2" fillId="0" borderId="64" xfId="0" applyFont="1" applyBorder="1"/>
    <xf numFmtId="0" fontId="2" fillId="0" borderId="67" xfId="0" applyFont="1" applyBorder="1"/>
    <xf numFmtId="0" fontId="2" fillId="0" borderId="68" xfId="0" applyFont="1" applyBorder="1"/>
    <xf numFmtId="0" fontId="16" fillId="5" borderId="16" xfId="0" applyFont="1" applyFill="1" applyBorder="1" applyAlignment="1">
      <alignment horizontal="center" wrapText="1"/>
    </xf>
    <xf numFmtId="0" fontId="2" fillId="0" borderId="69" xfId="0" applyFont="1" applyBorder="1"/>
    <xf numFmtId="0" fontId="2" fillId="0" borderId="20" xfId="0" applyFont="1" applyBorder="1"/>
    <xf numFmtId="0" fontId="0" fillId="0" borderId="17" xfId="0" applyBorder="1"/>
    <xf numFmtId="0" fontId="16" fillId="5" borderId="17" xfId="0" applyFont="1" applyFill="1" applyBorder="1" applyAlignment="1">
      <alignment horizontal="center"/>
    </xf>
    <xf numFmtId="0" fontId="2" fillId="0" borderId="17" xfId="0" applyFont="1" applyBorder="1"/>
    <xf numFmtId="0" fontId="20" fillId="4" borderId="16" xfId="0" applyFont="1" applyFill="1" applyBorder="1"/>
    <xf numFmtId="0" fontId="23" fillId="0" borderId="0" xfId="0" applyFont="1"/>
    <xf numFmtId="0" fontId="20" fillId="0" borderId="0" xfId="0" applyFont="1"/>
    <xf numFmtId="0" fontId="24" fillId="4" borderId="16" xfId="0" applyFont="1" applyFill="1" applyBorder="1" applyAlignment="1">
      <alignment horizontal="center"/>
    </xf>
    <xf numFmtId="0" fontId="20" fillId="4" borderId="16" xfId="0" applyFont="1" applyFill="1" applyBorder="1" applyAlignment="1">
      <alignment vertical="center"/>
    </xf>
    <xf numFmtId="0" fontId="20" fillId="0" borderId="21" xfId="0" applyFont="1" applyBorder="1"/>
    <xf numFmtId="0" fontId="20" fillId="0" borderId="22" xfId="0" applyFont="1" applyBorder="1" applyAlignment="1">
      <alignment vertical="center"/>
    </xf>
    <xf numFmtId="0" fontId="20" fillId="0" borderId="0" xfId="0" applyFont="1" applyAlignment="1">
      <alignment vertical="center"/>
    </xf>
    <xf numFmtId="0" fontId="27" fillId="0" borderId="0" xfId="0" applyFont="1" applyAlignment="1">
      <alignment vertical="center"/>
    </xf>
    <xf numFmtId="0" fontId="20" fillId="4" borderId="23" xfId="0" applyFont="1" applyFill="1" applyBorder="1"/>
    <xf numFmtId="0" fontId="20" fillId="4" borderId="28" xfId="0" applyFont="1" applyFill="1" applyBorder="1"/>
    <xf numFmtId="0" fontId="29" fillId="0" borderId="0" xfId="0" applyFont="1" applyAlignment="1">
      <alignment vertical="center"/>
    </xf>
    <xf numFmtId="0" fontId="29" fillId="0" borderId="21" xfId="0" applyFont="1" applyBorder="1" applyAlignment="1">
      <alignment vertical="center"/>
    </xf>
    <xf numFmtId="0" fontId="29" fillId="4" borderId="28" xfId="0" applyFont="1" applyFill="1" applyBorder="1" applyAlignment="1">
      <alignment vertical="center"/>
    </xf>
    <xf numFmtId="0" fontId="20" fillId="0" borderId="33" xfId="0" applyFont="1" applyBorder="1"/>
    <xf numFmtId="0" fontId="20" fillId="4" borderId="15" xfId="0" applyFont="1" applyFill="1" applyBorder="1"/>
    <xf numFmtId="0" fontId="30" fillId="0" borderId="0" xfId="0" applyFont="1" applyAlignment="1">
      <alignment vertical="center"/>
    </xf>
    <xf numFmtId="0" fontId="31" fillId="2" borderId="1" xfId="0" applyFont="1" applyFill="1" applyBorder="1" applyAlignment="1">
      <alignment horizontal="center" vertical="center" wrapText="1"/>
    </xf>
    <xf numFmtId="0" fontId="23" fillId="0" borderId="2" xfId="0" applyFont="1" applyBorder="1" applyAlignment="1">
      <alignment vertical="center" wrapText="1"/>
    </xf>
    <xf numFmtId="0" fontId="31" fillId="0" borderId="4" xfId="0" applyFont="1" applyBorder="1" applyAlignment="1">
      <alignment vertical="center" wrapText="1"/>
    </xf>
    <xf numFmtId="0" fontId="23" fillId="0" borderId="4" xfId="0" applyFont="1" applyBorder="1" applyAlignment="1">
      <alignment vertical="center" wrapText="1"/>
    </xf>
    <xf numFmtId="0" fontId="23" fillId="0" borderId="7" xfId="0" applyFont="1" applyBorder="1" applyAlignment="1">
      <alignment vertical="center" wrapText="1"/>
    </xf>
    <xf numFmtId="0" fontId="31" fillId="2" borderId="6" xfId="0" applyFont="1" applyFill="1" applyBorder="1" applyAlignment="1">
      <alignment horizontal="center" vertical="center" wrapText="1"/>
    </xf>
    <xf numFmtId="0" fontId="23" fillId="0" borderId="10" xfId="0" applyFont="1" applyBorder="1" applyAlignment="1">
      <alignment vertical="center" wrapText="1"/>
    </xf>
    <xf numFmtId="0" fontId="31" fillId="2" borderId="11" xfId="0" applyFont="1" applyFill="1" applyBorder="1" applyAlignment="1">
      <alignment horizontal="center" vertical="center" wrapText="1"/>
    </xf>
    <xf numFmtId="0" fontId="23" fillId="0" borderId="4" xfId="0" applyFont="1" applyBorder="1" applyAlignment="1">
      <alignment horizontal="left" vertical="center" wrapText="1"/>
    </xf>
    <xf numFmtId="0" fontId="31" fillId="2" borderId="12" xfId="0" applyFont="1" applyFill="1" applyBorder="1" applyAlignment="1">
      <alignment horizontal="center" vertical="center" wrapText="1"/>
    </xf>
    <xf numFmtId="0" fontId="23" fillId="0" borderId="13" xfId="0" applyFont="1" applyBorder="1" applyAlignment="1">
      <alignment vertical="center" wrapText="1"/>
    </xf>
    <xf numFmtId="0" fontId="20" fillId="2" borderId="16" xfId="0" applyFont="1" applyFill="1" applyBorder="1" applyAlignment="1">
      <alignment vertical="center"/>
    </xf>
    <xf numFmtId="0" fontId="31" fillId="2" borderId="16" xfId="0" applyFont="1" applyFill="1" applyBorder="1" applyAlignment="1">
      <alignment vertical="center" wrapText="1"/>
    </xf>
    <xf numFmtId="0" fontId="20" fillId="0" borderId="17" xfId="0" applyFont="1" applyBorder="1"/>
    <xf numFmtId="0" fontId="20" fillId="4" borderId="17" xfId="0" applyFont="1" applyFill="1" applyBorder="1"/>
    <xf numFmtId="0" fontId="20" fillId="0" borderId="71" xfId="0" applyFont="1" applyBorder="1"/>
    <xf numFmtId="0" fontId="2" fillId="0" borderId="42" xfId="0" applyFont="1" applyBorder="1" applyAlignment="1">
      <alignment horizontal="right" vertical="center"/>
    </xf>
    <xf numFmtId="0" fontId="5" fillId="0" borderId="0" xfId="0" applyFont="1" applyAlignment="1" applyProtection="1">
      <alignment vertical="center"/>
      <protection locked="0"/>
    </xf>
    <xf numFmtId="0" fontId="0" fillId="0" borderId="0" xfId="0" applyProtection="1">
      <protection locked="0"/>
    </xf>
    <xf numFmtId="0" fontId="1" fillId="2" borderId="42" xfId="0" applyFont="1" applyFill="1" applyBorder="1" applyAlignment="1" applyProtection="1">
      <alignment horizontal="center" vertical="center"/>
      <protection locked="0"/>
    </xf>
    <xf numFmtId="0" fontId="1" fillId="2" borderId="43" xfId="0" applyFont="1" applyFill="1" applyBorder="1" applyAlignment="1" applyProtection="1">
      <alignment horizontal="center" vertical="center"/>
      <protection locked="0"/>
    </xf>
    <xf numFmtId="0" fontId="1" fillId="2" borderId="43" xfId="0" applyFont="1" applyFill="1" applyBorder="1" applyAlignment="1" applyProtection="1">
      <alignment horizontal="center" vertical="center" wrapText="1"/>
      <protection locked="0"/>
    </xf>
    <xf numFmtId="0" fontId="1" fillId="2" borderId="44" xfId="0" applyFont="1" applyFill="1" applyBorder="1" applyAlignment="1" applyProtection="1">
      <alignment horizontal="center" vertical="center" wrapText="1"/>
      <protection locked="0"/>
    </xf>
    <xf numFmtId="0" fontId="1" fillId="2" borderId="45" xfId="0" applyFont="1" applyFill="1" applyBorder="1" applyAlignment="1" applyProtection="1">
      <alignment horizontal="center" vertical="center"/>
      <protection locked="0"/>
    </xf>
    <xf numFmtId="0" fontId="1" fillId="2" borderId="46" xfId="0" applyFont="1" applyFill="1" applyBorder="1" applyAlignment="1" applyProtection="1">
      <alignment horizontal="center" vertical="center" wrapText="1"/>
      <protection locked="0"/>
    </xf>
    <xf numFmtId="0" fontId="1" fillId="2" borderId="42" xfId="0" applyFont="1" applyFill="1" applyBorder="1" applyAlignment="1" applyProtection="1">
      <alignment horizontal="center" vertical="center" wrapText="1"/>
      <protection locked="0"/>
    </xf>
    <xf numFmtId="0" fontId="1" fillId="2" borderId="47" xfId="0" applyFont="1" applyFill="1" applyBorder="1" applyAlignment="1" applyProtection="1">
      <alignment horizontal="center" vertical="center" wrapText="1"/>
      <protection locked="0"/>
    </xf>
    <xf numFmtId="0" fontId="1" fillId="2" borderId="45" xfId="0" applyFont="1" applyFill="1" applyBorder="1" applyAlignment="1" applyProtection="1">
      <alignment horizontal="center" vertical="center" wrapText="1"/>
      <protection locked="0"/>
    </xf>
    <xf numFmtId="0" fontId="1" fillId="2" borderId="48" xfId="0" applyFont="1" applyFill="1" applyBorder="1" applyAlignment="1" applyProtection="1">
      <alignment horizontal="center" vertical="center" wrapText="1"/>
      <protection locked="0"/>
    </xf>
    <xf numFmtId="0" fontId="0" fillId="0" borderId="0" xfId="0" applyAlignment="1" applyProtection="1">
      <alignment vertical="center"/>
      <protection locked="0"/>
    </xf>
    <xf numFmtId="0" fontId="7" fillId="6" borderId="42" xfId="0" applyFont="1" applyFill="1" applyBorder="1" applyAlignment="1" applyProtection="1">
      <alignment horizontal="center" vertical="center" wrapText="1"/>
      <protection locked="0"/>
    </xf>
    <xf numFmtId="0" fontId="7" fillId="6" borderId="45" xfId="0" applyFont="1" applyFill="1" applyBorder="1" applyAlignment="1" applyProtection="1">
      <alignment horizontal="center" vertical="center" wrapText="1"/>
      <protection locked="0"/>
    </xf>
    <xf numFmtId="14" fontId="7" fillId="6" borderId="43" xfId="0" applyNumberFormat="1" applyFont="1" applyFill="1" applyBorder="1" applyAlignment="1" applyProtection="1">
      <alignment horizontal="center" vertical="center" wrapText="1"/>
      <protection locked="0"/>
    </xf>
    <xf numFmtId="14" fontId="7" fillId="6" borderId="44" xfId="0" applyNumberFormat="1" applyFont="1" applyFill="1" applyBorder="1" applyAlignment="1" applyProtection="1">
      <alignment horizontal="center" vertical="center" wrapText="1"/>
      <protection locked="0"/>
    </xf>
    <xf numFmtId="0" fontId="7" fillId="6" borderId="43" xfId="0" applyFont="1" applyFill="1" applyBorder="1" applyAlignment="1" applyProtection="1">
      <alignment horizontal="center" vertical="center" wrapText="1"/>
      <protection locked="0"/>
    </xf>
    <xf numFmtId="0" fontId="7" fillId="6" borderId="47" xfId="0" applyFont="1" applyFill="1" applyBorder="1" applyAlignment="1" applyProtection="1">
      <alignment horizontal="center" vertical="center" wrapText="1"/>
      <protection locked="0"/>
    </xf>
    <xf numFmtId="0" fontId="8" fillId="6" borderId="42" xfId="0" applyFont="1" applyFill="1" applyBorder="1" applyAlignment="1" applyProtection="1">
      <alignment horizontal="center" vertical="center" wrapText="1"/>
      <protection locked="0"/>
    </xf>
    <xf numFmtId="0" fontId="8" fillId="6" borderId="45" xfId="0" applyFont="1" applyFill="1" applyBorder="1" applyAlignment="1" applyProtection="1">
      <alignment horizontal="center" vertical="center" wrapText="1"/>
      <protection locked="0"/>
    </xf>
    <xf numFmtId="0" fontId="8" fillId="6" borderId="47" xfId="0" applyFont="1" applyFill="1" applyBorder="1" applyAlignment="1" applyProtection="1">
      <alignment horizontal="center" vertical="center" wrapText="1"/>
      <protection locked="0"/>
    </xf>
    <xf numFmtId="0" fontId="8" fillId="6" borderId="43" xfId="0" applyFont="1" applyFill="1" applyBorder="1" applyAlignment="1" applyProtection="1">
      <alignment horizontal="center" vertical="center" wrapText="1"/>
      <protection locked="0"/>
    </xf>
    <xf numFmtId="0" fontId="8" fillId="6" borderId="48" xfId="0" applyFont="1" applyFill="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2" fillId="6" borderId="42"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14" fontId="2" fillId="6" borderId="43" xfId="0" applyNumberFormat="1" applyFont="1" applyFill="1" applyBorder="1" applyAlignment="1" applyProtection="1">
      <alignment horizontal="center" vertical="center" wrapText="1"/>
      <protection locked="0"/>
    </xf>
    <xf numFmtId="14" fontId="2" fillId="6" borderId="44" xfId="0" applyNumberFormat="1" applyFont="1" applyFill="1" applyBorder="1" applyAlignment="1" applyProtection="1">
      <alignment horizontal="center" vertical="center" wrapText="1"/>
      <protection locked="0"/>
    </xf>
    <xf numFmtId="0" fontId="2" fillId="6" borderId="43" xfId="0" applyFont="1" applyFill="1" applyBorder="1" applyAlignment="1" applyProtection="1">
      <alignment horizontal="center" vertical="center" wrapText="1"/>
      <protection locked="0"/>
    </xf>
    <xf numFmtId="0" fontId="2" fillId="6" borderId="46" xfId="0" applyFont="1" applyFill="1" applyBorder="1" applyAlignment="1" applyProtection="1">
      <alignment horizontal="center" vertical="center" wrapText="1"/>
      <protection locked="0"/>
    </xf>
    <xf numFmtId="0" fontId="2" fillId="6" borderId="47" xfId="0" applyFont="1" applyFill="1" applyBorder="1" applyAlignment="1" applyProtection="1">
      <alignment horizontal="center" vertical="center" wrapText="1"/>
      <protection locked="0"/>
    </xf>
    <xf numFmtId="0" fontId="10" fillId="6" borderId="42" xfId="0" applyFont="1" applyFill="1" applyBorder="1" applyAlignment="1" applyProtection="1">
      <alignment horizontal="center" vertical="center" wrapText="1"/>
      <protection locked="0"/>
    </xf>
    <xf numFmtId="0" fontId="10" fillId="6" borderId="45" xfId="0" applyFont="1" applyFill="1" applyBorder="1" applyAlignment="1" applyProtection="1">
      <alignment horizontal="center" vertical="center" wrapText="1"/>
      <protection locked="0"/>
    </xf>
    <xf numFmtId="0" fontId="10" fillId="6" borderId="47" xfId="0" applyFont="1" applyFill="1" applyBorder="1" applyAlignment="1" applyProtection="1">
      <alignment horizontal="center" vertical="center" wrapText="1"/>
      <protection locked="0"/>
    </xf>
    <xf numFmtId="0" fontId="10" fillId="6" borderId="43" xfId="0" applyFont="1" applyFill="1" applyBorder="1" applyAlignment="1" applyProtection="1">
      <alignment horizontal="center" vertical="center" wrapText="1"/>
      <protection locked="0"/>
    </xf>
    <xf numFmtId="0" fontId="10" fillId="6" borderId="48" xfId="0" applyFont="1" applyFill="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2" fillId="0" borderId="42" xfId="0" applyFont="1" applyBorder="1" applyAlignment="1" applyProtection="1">
      <alignment vertical="center"/>
      <protection locked="0"/>
    </xf>
    <xf numFmtId="14" fontId="2" fillId="0" borderId="49" xfId="0" applyNumberFormat="1" applyFont="1" applyBorder="1" applyProtection="1">
      <protection locked="0"/>
    </xf>
    <xf numFmtId="14" fontId="2" fillId="0" borderId="49" xfId="0" applyNumberFormat="1" applyFont="1" applyBorder="1" applyAlignment="1" applyProtection="1">
      <alignment vertical="center"/>
      <protection locked="0"/>
    </xf>
    <xf numFmtId="0" fontId="2" fillId="0" borderId="49" xfId="0" applyFont="1" applyBorder="1" applyAlignment="1" applyProtection="1">
      <alignment vertical="center"/>
      <protection locked="0"/>
    </xf>
    <xf numFmtId="14" fontId="2" fillId="0" borderId="50" xfId="0" applyNumberFormat="1" applyFont="1" applyBorder="1" applyAlignment="1" applyProtection="1">
      <alignment vertical="center"/>
      <protection locked="0"/>
    </xf>
    <xf numFmtId="0" fontId="2" fillId="0" borderId="51" xfId="0" applyFont="1" applyBorder="1" applyAlignment="1" applyProtection="1">
      <alignment vertical="center"/>
      <protection locked="0"/>
    </xf>
    <xf numFmtId="0" fontId="2" fillId="0" borderId="46" xfId="0" applyFont="1" applyBorder="1" applyAlignment="1" applyProtection="1">
      <alignment vertical="center"/>
      <protection locked="0"/>
    </xf>
    <xf numFmtId="0" fontId="2" fillId="0" borderId="47" xfId="0" applyFont="1" applyBorder="1" applyAlignment="1" applyProtection="1">
      <alignment vertical="center"/>
      <protection locked="0"/>
    </xf>
    <xf numFmtId="14" fontId="2" fillId="0" borderId="51" xfId="0" applyNumberFormat="1" applyFont="1" applyBorder="1" applyProtection="1">
      <protection locked="0"/>
    </xf>
    <xf numFmtId="14" fontId="2" fillId="0" borderId="51" xfId="0" applyNumberFormat="1" applyFont="1" applyBorder="1" applyAlignment="1" applyProtection="1">
      <alignment vertical="center"/>
      <protection locked="0"/>
    </xf>
    <xf numFmtId="0" fontId="10" fillId="0" borderId="51" xfId="0" applyFont="1" applyBorder="1" applyAlignment="1" applyProtection="1">
      <alignment vertical="center"/>
      <protection locked="0"/>
    </xf>
    <xf numFmtId="0" fontId="10" fillId="0" borderId="47" xfId="0" applyFont="1" applyBorder="1" applyAlignment="1" applyProtection="1">
      <alignment vertical="center"/>
      <protection locked="0"/>
    </xf>
    <xf numFmtId="14" fontId="2" fillId="0" borderId="46" xfId="0" applyNumberFormat="1" applyFont="1" applyBorder="1" applyAlignment="1" applyProtection="1">
      <alignment vertical="center"/>
      <protection locked="0"/>
    </xf>
    <xf numFmtId="0" fontId="4" fillId="0" borderId="0" xfId="0" applyFont="1" applyAlignment="1" applyProtection="1">
      <alignment vertical="center"/>
      <protection locked="0"/>
    </xf>
    <xf numFmtId="0" fontId="2" fillId="0" borderId="0" xfId="0" applyFont="1" applyAlignment="1" applyProtection="1">
      <alignment vertical="center"/>
      <protection locked="0"/>
    </xf>
    <xf numFmtId="0" fontId="2" fillId="0" borderId="70" xfId="0" applyFont="1" applyBorder="1" applyAlignment="1" applyProtection="1">
      <alignment vertical="center"/>
      <protection locked="0"/>
    </xf>
    <xf numFmtId="14" fontId="2" fillId="0" borderId="47" xfId="0" applyNumberFormat="1" applyFont="1" applyBorder="1" applyAlignment="1" applyProtection="1">
      <alignment vertical="center"/>
      <protection locked="0"/>
    </xf>
    <xf numFmtId="14" fontId="2" fillId="0" borderId="42" xfId="0" applyNumberFormat="1" applyFont="1" applyBorder="1" applyAlignment="1" applyProtection="1">
      <alignment vertical="center"/>
      <protection locked="0"/>
    </xf>
    <xf numFmtId="0" fontId="2" fillId="0" borderId="52" xfId="0" applyFont="1" applyBorder="1" applyAlignment="1" applyProtection="1">
      <alignment vertical="center"/>
      <protection locked="0"/>
    </xf>
    <xf numFmtId="0" fontId="2" fillId="0" borderId="53" xfId="0" applyFont="1" applyBorder="1" applyAlignment="1" applyProtection="1">
      <alignment vertical="center"/>
      <protection locked="0"/>
    </xf>
    <xf numFmtId="0" fontId="10" fillId="0" borderId="49" xfId="0" applyFont="1" applyBorder="1" applyAlignment="1" applyProtection="1">
      <alignment vertical="center"/>
      <protection locked="0"/>
    </xf>
    <xf numFmtId="0" fontId="2" fillId="0" borderId="0" xfId="0" applyFont="1" applyProtection="1">
      <protection locked="0"/>
    </xf>
    <xf numFmtId="0" fontId="4" fillId="0" borderId="0" xfId="0" applyFont="1" applyProtection="1">
      <protection locked="0"/>
    </xf>
    <xf numFmtId="0" fontId="10" fillId="0" borderId="0" xfId="0" applyFont="1" applyProtection="1">
      <protection locked="0"/>
    </xf>
    <xf numFmtId="0" fontId="0" fillId="0" borderId="54" xfId="0" applyBorder="1" applyProtection="1">
      <protection locked="0"/>
    </xf>
    <xf numFmtId="0" fontId="0" fillId="0" borderId="55" xfId="0" applyBorder="1" applyProtection="1">
      <protection locked="0"/>
    </xf>
    <xf numFmtId="0" fontId="0" fillId="0" borderId="56" xfId="0" applyBorder="1" applyProtection="1">
      <protection locked="0"/>
    </xf>
    <xf numFmtId="0" fontId="0" fillId="0" borderId="57" xfId="0" applyBorder="1" applyProtection="1">
      <protection locked="0"/>
    </xf>
    <xf numFmtId="0" fontId="0" fillId="0" borderId="58" xfId="0" applyBorder="1" applyProtection="1">
      <protection locked="0"/>
    </xf>
    <xf numFmtId="0" fontId="2" fillId="0" borderId="51" xfId="0" applyFont="1" applyBorder="1" applyAlignment="1">
      <alignment vertical="center"/>
    </xf>
    <xf numFmtId="0" fontId="31" fillId="2" borderId="3" xfId="0" applyFont="1" applyFill="1" applyBorder="1" applyAlignment="1">
      <alignment horizontal="center" vertical="center" wrapText="1"/>
    </xf>
    <xf numFmtId="0" fontId="22" fillId="0" borderId="5" xfId="0" applyFont="1" applyBorder="1"/>
    <xf numFmtId="0" fontId="22" fillId="0" borderId="6" xfId="0" applyFont="1" applyBorder="1"/>
    <xf numFmtId="0" fontId="32" fillId="3" borderId="8" xfId="0" applyFont="1" applyFill="1" applyBorder="1" applyAlignment="1">
      <alignment horizontal="left" vertical="center" wrapText="1"/>
    </xf>
    <xf numFmtId="0" fontId="22" fillId="0" borderId="9" xfId="0" applyFont="1" applyBorder="1"/>
    <xf numFmtId="0" fontId="31" fillId="2" borderId="14" xfId="0" applyFont="1" applyFill="1" applyBorder="1" applyAlignment="1">
      <alignment horizontal="left" vertical="center" wrapText="1"/>
    </xf>
    <xf numFmtId="0" fontId="22" fillId="0" borderId="15" xfId="0" applyFont="1" applyBorder="1"/>
    <xf numFmtId="0" fontId="21" fillId="3" borderId="14" xfId="0" applyFont="1" applyFill="1" applyBorder="1" applyAlignment="1">
      <alignment horizontal="center" vertical="center"/>
    </xf>
    <xf numFmtId="0" fontId="22" fillId="0" borderId="17" xfId="0" applyFont="1" applyBorder="1"/>
    <xf numFmtId="0" fontId="25" fillId="4" borderId="18" xfId="0" applyFont="1" applyFill="1" applyBorder="1" applyAlignment="1">
      <alignment horizontal="center" vertical="center"/>
    </xf>
    <xf numFmtId="0" fontId="22" fillId="0" borderId="19" xfId="0" applyFont="1" applyBorder="1"/>
    <xf numFmtId="0" fontId="22" fillId="0" borderId="20" xfId="0" applyFont="1" applyBorder="1"/>
    <xf numFmtId="0" fontId="26" fillId="2" borderId="18" xfId="0" applyFont="1" applyFill="1" applyBorder="1" applyAlignment="1">
      <alignment horizontal="center" vertical="center" wrapText="1"/>
    </xf>
    <xf numFmtId="0" fontId="25" fillId="4" borderId="24" xfId="0" applyFont="1" applyFill="1" applyBorder="1" applyAlignment="1">
      <alignment horizontal="center" vertical="center"/>
    </xf>
    <xf numFmtId="0" fontId="22" fillId="0" borderId="27" xfId="0" applyFont="1" applyBorder="1"/>
    <xf numFmtId="0" fontId="22" fillId="0" borderId="26" xfId="0" applyFont="1" applyBorder="1"/>
    <xf numFmtId="0" fontId="26" fillId="2" borderId="72" xfId="0" applyFont="1" applyFill="1" applyBorder="1" applyAlignment="1">
      <alignment horizontal="center" vertical="center" wrapText="1"/>
    </xf>
    <xf numFmtId="0" fontId="22" fillId="0" borderId="73" xfId="0" applyFont="1" applyBorder="1"/>
    <xf numFmtId="0" fontId="22" fillId="0" borderId="74" xfId="0" applyFont="1" applyBorder="1"/>
    <xf numFmtId="1" fontId="25" fillId="4" borderId="18" xfId="0" applyNumberFormat="1" applyFont="1" applyFill="1" applyBorder="1" applyAlignment="1">
      <alignment horizontal="center" vertical="center"/>
    </xf>
    <xf numFmtId="0" fontId="22" fillId="0" borderId="25" xfId="0" applyFont="1" applyBorder="1"/>
    <xf numFmtId="0" fontId="24" fillId="5" borderId="14" xfId="0" applyFont="1" applyFill="1" applyBorder="1" applyAlignment="1">
      <alignment horizontal="center" vertical="center"/>
    </xf>
    <xf numFmtId="0" fontId="28" fillId="2" borderId="29" xfId="0" applyFont="1" applyFill="1" applyBorder="1" applyAlignment="1">
      <alignment horizontal="center" vertical="center" wrapText="1"/>
    </xf>
    <xf numFmtId="0" fontId="22" fillId="0" borderId="30" xfId="0" applyFont="1" applyBorder="1"/>
    <xf numFmtId="0" fontId="22" fillId="0" borderId="31" xfId="0" applyFont="1" applyBorder="1"/>
    <xf numFmtId="0" fontId="22" fillId="0" borderId="32" xfId="0" applyFont="1" applyBorder="1"/>
    <xf numFmtId="0" fontId="6" fillId="3" borderId="39" xfId="0" applyFont="1" applyFill="1" applyBorder="1" applyAlignment="1" applyProtection="1">
      <alignment horizontal="center" vertical="center"/>
      <protection locked="0"/>
    </xf>
    <xf numFmtId="0" fontId="3" fillId="0" borderId="40" xfId="0" applyFont="1" applyBorder="1" applyProtection="1">
      <protection locked="0"/>
    </xf>
    <xf numFmtId="0" fontId="3" fillId="0" borderId="41" xfId="0" applyFont="1" applyBorder="1" applyProtection="1">
      <protection locked="0"/>
    </xf>
    <xf numFmtId="0" fontId="1" fillId="0" borderId="0" xfId="0" applyFont="1" applyProtection="1">
      <protection locked="0"/>
    </xf>
    <xf numFmtId="0" fontId="0" fillId="0" borderId="0" xfId="0" applyProtection="1">
      <protection locked="0"/>
    </xf>
    <xf numFmtId="0" fontId="6" fillId="3" borderId="34" xfId="0" applyFont="1" applyFill="1" applyBorder="1" applyAlignment="1" applyProtection="1">
      <alignment horizontal="center" vertical="center"/>
      <protection locked="0"/>
    </xf>
    <xf numFmtId="0" fontId="3" fillId="0" borderId="35" xfId="0" applyFont="1" applyBorder="1" applyProtection="1">
      <protection locked="0"/>
    </xf>
    <xf numFmtId="0" fontId="3" fillId="0" borderId="36" xfId="0" applyFont="1" applyBorder="1" applyProtection="1">
      <protection locked="0"/>
    </xf>
    <xf numFmtId="0" fontId="3" fillId="0" borderId="37" xfId="0" applyFont="1" applyBorder="1" applyProtection="1">
      <protection locked="0"/>
    </xf>
    <xf numFmtId="0" fontId="6" fillId="3" borderId="38" xfId="0" applyFont="1" applyFill="1" applyBorder="1" applyAlignment="1" applyProtection="1">
      <alignment horizontal="center" vertical="center"/>
      <protection locked="0"/>
    </xf>
    <xf numFmtId="0" fontId="15" fillId="0" borderId="0" xfId="0" applyFont="1" applyAlignment="1">
      <alignment horizontal="center"/>
    </xf>
    <xf numFmtId="0" fontId="0" fillId="0" borderId="0" xfId="0"/>
    <xf numFmtId="0" fontId="34" fillId="9" borderId="0" xfId="0" applyFont="1" applyFill="1" applyAlignment="1">
      <alignment vertical="center"/>
    </xf>
    <xf numFmtId="0" fontId="35" fillId="9" borderId="0" xfId="0" applyFont="1" applyFill="1" applyAlignment="1">
      <alignment vertical="center"/>
    </xf>
    <xf numFmtId="0" fontId="34" fillId="0" borderId="0" xfId="0" applyFont="1" applyFill="1" applyAlignment="1">
      <alignment vertical="center"/>
    </xf>
    <xf numFmtId="0" fontId="33" fillId="8" borderId="75" xfId="2" applyFill="1" applyBorder="1"/>
    <xf numFmtId="0" fontId="33" fillId="8" borderId="76" xfId="2" applyFill="1" applyBorder="1"/>
    <xf numFmtId="0" fontId="33" fillId="8" borderId="77" xfId="2" applyFill="1" applyBorder="1"/>
    <xf numFmtId="0" fontId="33" fillId="8" borderId="17" xfId="2" applyFill="1"/>
    <xf numFmtId="0" fontId="33" fillId="8" borderId="78" xfId="2" applyFill="1" applyBorder="1"/>
    <xf numFmtId="0" fontId="33" fillId="8" borderId="79" xfId="2" applyFill="1" applyBorder="1"/>
    <xf numFmtId="0" fontId="33" fillId="8" borderId="80" xfId="2" applyFill="1" applyBorder="1"/>
    <xf numFmtId="0" fontId="33" fillId="8" borderId="81" xfId="2" applyFill="1" applyBorder="1"/>
    <xf numFmtId="0" fontId="33" fillId="8" borderId="82" xfId="2" applyFill="1" applyBorder="1"/>
  </cellXfs>
  <cellStyles count="3">
    <cellStyle name="Normal" xfId="0" builtinId="0"/>
    <cellStyle name="Normal 2" xfId="1" xr:uid="{CC3AFC64-172D-014C-A2E4-05B8E41AC879}"/>
    <cellStyle name="Normal 3" xfId="2" xr:uid="{4DB10870-8199-064A-A5D9-2F36FCE7D3BF}"/>
  </cellStyles>
  <dxfs count="0"/>
  <tableStyles count="0" defaultTableStyle="TableStyleMedium2" defaultPivotStyle="PivotStyleLight16"/>
  <colors>
    <mruColors>
      <color rgb="FF31216B"/>
      <color rgb="FFFABE9F"/>
      <color rgb="FFFFD0D4"/>
      <color rgb="FF1EBBF0"/>
      <color rgb="FFFFEB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chemeClr val="dk1"/>
                </a:solidFill>
                <a:latin typeface="Trebuchet MS" panose="020B0703020202090204" pitchFamily="34" charset="0"/>
              </a:defRPr>
            </a:pPr>
            <a:r>
              <a:rPr lang="en-US" sz="1800" b="1" i="0">
                <a:solidFill>
                  <a:schemeClr val="dk1"/>
                </a:solidFill>
                <a:latin typeface="Trebuchet MS" panose="020B0703020202090204" pitchFamily="34" charset="0"/>
              </a:rPr>
              <a:t>Employees Per Business unit</a:t>
            </a:r>
          </a:p>
        </c:rich>
      </c:tx>
      <c:overlay val="0"/>
    </c:title>
    <c:autoTitleDeleted val="0"/>
    <c:plotArea>
      <c:layout/>
      <c:barChart>
        <c:barDir val="col"/>
        <c:grouping val="clustered"/>
        <c:varyColors val="1"/>
        <c:ser>
          <c:idx val="0"/>
          <c:order val="0"/>
          <c:spPr>
            <a:solidFill>
              <a:srgbClr val="B0E7FF"/>
            </a:solidFill>
            <a:ln cmpd="sng">
              <a:noFill/>
            </a:ln>
          </c:spPr>
          <c:invertIfNegative val="1"/>
          <c:dLbls>
            <c:spPr>
              <a:noFill/>
              <a:ln>
                <a:noFill/>
              </a:ln>
              <a:effectLst/>
            </c:spPr>
            <c:txPr>
              <a:bodyPr/>
              <a:lstStyle/>
              <a:p>
                <a:pPr lvl="0">
                  <a:defRPr sz="1200" b="0" i="0">
                    <a:solidFill>
                      <a:srgbClr val="31216B"/>
                    </a:solidFill>
                    <a:latin typeface="Trebuchet MS" panose="020B070302020209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Calculations!$A$2:$A$15</c:f>
              <c:strCache>
                <c:ptCount val="14"/>
                <c:pt idx="0">
                  <c:v>BU 1</c:v>
                </c:pt>
                <c:pt idx="1">
                  <c:v>BU 2</c:v>
                </c:pt>
                <c:pt idx="2">
                  <c:v>BU 3</c:v>
                </c:pt>
                <c:pt idx="3">
                  <c:v>BU 4</c:v>
                </c:pt>
                <c:pt idx="4">
                  <c:v>BU 5</c:v>
                </c:pt>
                <c:pt idx="5">
                  <c:v>BU 6</c:v>
                </c:pt>
                <c:pt idx="6">
                  <c:v>BU 7</c:v>
                </c:pt>
                <c:pt idx="7">
                  <c:v>BU 8</c:v>
                </c:pt>
                <c:pt idx="8">
                  <c:v>BU 9</c:v>
                </c:pt>
                <c:pt idx="9">
                  <c:v>BU 10</c:v>
                </c:pt>
                <c:pt idx="10">
                  <c:v>BU 11</c:v>
                </c:pt>
                <c:pt idx="11">
                  <c:v>BU 12</c:v>
                </c:pt>
                <c:pt idx="12">
                  <c:v>BU 13</c:v>
                </c:pt>
                <c:pt idx="13">
                  <c:v>BU 14</c:v>
                </c:pt>
              </c:strCache>
            </c:strRef>
          </c:cat>
          <c:val>
            <c:numRef>
              <c:f>Calculations!$B$2:$B$15</c:f>
              <c:numCache>
                <c:formatCode>General</c:formatCode>
                <c:ptCount val="14"/>
                <c:pt idx="0">
                  <c:v>7</c:v>
                </c:pt>
                <c:pt idx="1">
                  <c:v>7</c:v>
                </c:pt>
                <c:pt idx="2">
                  <c:v>7</c:v>
                </c:pt>
                <c:pt idx="3">
                  <c:v>0</c:v>
                </c:pt>
                <c:pt idx="4">
                  <c:v>0</c:v>
                </c:pt>
                <c:pt idx="5">
                  <c:v>0</c:v>
                </c:pt>
                <c:pt idx="6">
                  <c:v>0</c:v>
                </c:pt>
                <c:pt idx="7">
                  <c:v>0</c:v>
                </c:pt>
                <c:pt idx="8">
                  <c:v>0</c:v>
                </c:pt>
                <c:pt idx="9">
                  <c:v>0</c:v>
                </c:pt>
                <c:pt idx="10">
                  <c:v>0</c:v>
                </c:pt>
                <c:pt idx="11">
                  <c:v>0</c:v>
                </c:pt>
                <c:pt idx="12">
                  <c:v>0</c:v>
                </c:pt>
                <c:pt idx="13">
                  <c:v>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0-3D3C-2A40-91F6-AF79CA4CD0D3}"/>
            </c:ext>
          </c:extLst>
        </c:ser>
        <c:dLbls>
          <c:showLegendKey val="0"/>
          <c:showVal val="0"/>
          <c:showCatName val="0"/>
          <c:showSerName val="0"/>
          <c:showPercent val="0"/>
          <c:showBubbleSize val="0"/>
        </c:dLbls>
        <c:gapWidth val="150"/>
        <c:axId val="2022709870"/>
        <c:axId val="1880054200"/>
      </c:barChart>
      <c:catAx>
        <c:axId val="2022709870"/>
        <c:scaling>
          <c:orientation val="minMax"/>
        </c:scaling>
        <c:delete val="0"/>
        <c:axPos val="b"/>
        <c:title>
          <c:tx>
            <c:rich>
              <a:bodyPr/>
              <a:lstStyle/>
              <a:p>
                <a:pPr lvl="0">
                  <a:defRPr b="0">
                    <a:solidFill>
                      <a:srgbClr val="31216B"/>
                    </a:solidFill>
                    <a:latin typeface="+mn-lt"/>
                  </a:defRPr>
                </a:pPr>
                <a:endParaRPr lang="en-NL"/>
              </a:p>
            </c:rich>
          </c:tx>
          <c:overlay val="0"/>
        </c:title>
        <c:numFmt formatCode="General" sourceLinked="1"/>
        <c:majorTickMark val="none"/>
        <c:minorTickMark val="none"/>
        <c:tickLblPos val="nextTo"/>
        <c:txPr>
          <a:bodyPr/>
          <a:lstStyle/>
          <a:p>
            <a:pPr lvl="0">
              <a:defRPr sz="1200" b="0" i="0">
                <a:solidFill>
                  <a:srgbClr val="002060"/>
                </a:solidFill>
                <a:latin typeface="Trebuchet MS" panose="020B0703020202090204" pitchFamily="34" charset="0"/>
              </a:defRPr>
            </a:pPr>
            <a:endParaRPr lang="en-US"/>
          </a:p>
        </c:txPr>
        <c:crossAx val="1880054200"/>
        <c:crosses val="autoZero"/>
        <c:auto val="1"/>
        <c:lblAlgn val="ctr"/>
        <c:lblOffset val="100"/>
        <c:noMultiLvlLbl val="1"/>
      </c:catAx>
      <c:valAx>
        <c:axId val="1880054200"/>
        <c:scaling>
          <c:orientation val="minMax"/>
        </c:scaling>
        <c:delete val="1"/>
        <c:axPos val="l"/>
        <c:title>
          <c:tx>
            <c:rich>
              <a:bodyPr/>
              <a:lstStyle/>
              <a:p>
                <a:pPr lvl="0">
                  <a:defRPr b="0">
                    <a:solidFill>
                      <a:srgbClr val="31216B"/>
                    </a:solidFill>
                    <a:latin typeface="+mn-lt"/>
                  </a:defRPr>
                </a:pPr>
                <a:endParaRPr lang="en-NL"/>
              </a:p>
            </c:rich>
          </c:tx>
          <c:overlay val="0"/>
        </c:title>
        <c:numFmt formatCode="General" sourceLinked="1"/>
        <c:majorTickMark val="none"/>
        <c:minorTickMark val="none"/>
        <c:tickLblPos val="nextTo"/>
        <c:crossAx val="2022709870"/>
        <c:crosses val="autoZero"/>
        <c:crossBetween val="between"/>
      </c:valAx>
    </c:plotArea>
    <c:plotVisOnly val="1"/>
    <c:dispBlanksAs val="zero"/>
    <c:showDLblsOverMax val="1"/>
  </c:chart>
  <c:spPr>
    <a:solidFill>
      <a:schemeClr val="lt1"/>
    </a:solidFill>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chemeClr val="dk1"/>
                </a:solidFill>
                <a:latin typeface="Trebuchet MS" panose="020B0703020202090204" pitchFamily="34" charset="0"/>
              </a:defRPr>
            </a:pPr>
            <a:r>
              <a:rPr lang="en-US" sz="1800" b="1" i="0">
                <a:solidFill>
                  <a:schemeClr val="dk1"/>
                </a:solidFill>
                <a:latin typeface="Trebuchet MS" panose="020B0703020202090204" pitchFamily="34" charset="0"/>
              </a:rPr>
              <a:t>Total New Employee Gender Profile in Q1</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D03D-A54E-B612-EE86BA12DACD}"/>
              </c:ext>
            </c:extLst>
          </c:dPt>
          <c:dPt>
            <c:idx val="1"/>
            <c:bubble3D val="0"/>
            <c:spPr>
              <a:solidFill>
                <a:schemeClr val="accent2"/>
              </a:solidFill>
            </c:spPr>
            <c:extLst>
              <c:ext xmlns:c16="http://schemas.microsoft.com/office/drawing/2014/chart" uri="{C3380CC4-5D6E-409C-BE32-E72D297353CC}">
                <c16:uniqueId val="{00000003-D03D-A54E-B612-EE86BA12DACD}"/>
              </c:ext>
            </c:extLst>
          </c:dPt>
          <c:dPt>
            <c:idx val="2"/>
            <c:bubble3D val="0"/>
            <c:spPr>
              <a:solidFill>
                <a:schemeClr val="accent3"/>
              </a:solidFill>
            </c:spPr>
            <c:extLst>
              <c:ext xmlns:c16="http://schemas.microsoft.com/office/drawing/2014/chart" uri="{C3380CC4-5D6E-409C-BE32-E72D297353CC}">
                <c16:uniqueId val="{00000005-D03D-A54E-B612-EE86BA12DACD}"/>
              </c:ext>
            </c:extLst>
          </c:dPt>
          <c:dPt>
            <c:idx val="3"/>
            <c:bubble3D val="0"/>
            <c:spPr>
              <a:solidFill>
                <a:schemeClr val="accent4"/>
              </a:solidFill>
            </c:spPr>
            <c:extLst>
              <c:ext xmlns:c16="http://schemas.microsoft.com/office/drawing/2014/chart" uri="{C3380CC4-5D6E-409C-BE32-E72D297353CC}">
                <c16:uniqueId val="{00000007-D03D-A54E-B612-EE86BA12DACD}"/>
              </c:ext>
            </c:extLst>
          </c:dPt>
          <c:dLbls>
            <c:dLbl>
              <c:idx val="0"/>
              <c:layout>
                <c:manualLayout>
                  <c:x val="-6.1537527231567246E-2"/>
                  <c:y val="3.66972477064220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03D-A54E-B612-EE86BA12DACD}"/>
                </c:ext>
              </c:extLst>
            </c:dLbl>
            <c:dLbl>
              <c:idx val="1"/>
              <c:layout>
                <c:manualLayout>
                  <c:x val="-3.6922516338940378E-2"/>
                  <c:y val="-3.669724770642213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03D-A54E-B612-EE86BA12DACD}"/>
                </c:ext>
              </c:extLst>
            </c:dLbl>
            <c:dLbl>
              <c:idx val="2"/>
              <c:layout>
                <c:manualLayout>
                  <c:x val="3.6922516338940302E-2"/>
                  <c:y val="-4.892966360856269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03D-A54E-B612-EE86BA12DACD}"/>
                </c:ext>
              </c:extLst>
            </c:dLbl>
            <c:dLbl>
              <c:idx val="3"/>
              <c:layout>
                <c:manualLayout>
                  <c:x val="3.8973767246659206E-2"/>
                  <c:y val="-1.223241590214067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03D-A54E-B612-EE86BA12DACD}"/>
                </c:ext>
              </c:extLst>
            </c:dLbl>
            <c:dLbl>
              <c:idx val="4"/>
              <c:layout>
                <c:manualLayout>
                  <c:x val="-6.153752723156717E-3"/>
                  <c:y val="-4.137671430794762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A74-F646-A8C8-198E553EB5FE}"/>
                </c:ext>
              </c:extLst>
            </c:dLbl>
            <c:spPr>
              <a:solidFill>
                <a:srgbClr val="FFFFFF"/>
              </a:solidFill>
              <a:ln>
                <a:solidFill>
                  <a:srgbClr val="31216B">
                    <a:lumMod val="65000"/>
                    <a:lumOff val="35000"/>
                  </a:srgbClr>
                </a:solidFill>
              </a:ln>
              <a:effectLst/>
            </c:spPr>
            <c:txPr>
              <a:bodyPr wrap="square" lIns="38100" tIns="19050" rIns="38100" bIns="19050" anchor="ctr">
                <a:spAutoFit/>
              </a:bodyPr>
              <a:lstStyle/>
              <a:p>
                <a:pPr>
                  <a:defRPr b="0" i="0">
                    <a:latin typeface="Trebuchet MS" panose="020B0703020202090204" pitchFamily="34" charset="0"/>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c15:spPr>
              </c:ext>
            </c:extLst>
          </c:dLbls>
          <c:cat>
            <c:strRef>
              <c:f>Calculations!$I$427:$I$431</c:f>
              <c:strCache>
                <c:ptCount val="5"/>
                <c:pt idx="0">
                  <c:v>Female</c:v>
                </c:pt>
                <c:pt idx="1">
                  <c:v>Male</c:v>
                </c:pt>
                <c:pt idx="2">
                  <c:v>Nonbinary</c:v>
                </c:pt>
                <c:pt idx="3">
                  <c:v>Other</c:v>
                </c:pt>
                <c:pt idx="4">
                  <c:v>Prefers not to disclose</c:v>
                </c:pt>
              </c:strCache>
            </c:strRef>
          </c:cat>
          <c:val>
            <c:numRef>
              <c:f>Calculations!$J$427:$J$431</c:f>
              <c:numCache>
                <c:formatCode>General</c:formatCode>
                <c:ptCount val="5"/>
                <c:pt idx="0">
                  <c:v>#N/A</c:v>
                </c:pt>
                <c:pt idx="1">
                  <c:v>#N/A</c:v>
                </c:pt>
                <c:pt idx="2">
                  <c:v>#N/A</c:v>
                </c:pt>
                <c:pt idx="3">
                  <c:v>#N/A</c:v>
                </c:pt>
                <c:pt idx="4">
                  <c:v>#N/A</c:v>
                </c:pt>
              </c:numCache>
            </c:numRef>
          </c:val>
          <c:extLst>
            <c:ext xmlns:c16="http://schemas.microsoft.com/office/drawing/2014/chart" uri="{C3380CC4-5D6E-409C-BE32-E72D297353CC}">
              <c16:uniqueId val="{00000008-D03D-A54E-B612-EE86BA12DACD}"/>
            </c:ext>
          </c:extLst>
        </c:ser>
        <c:dLbls>
          <c:showLegendKey val="0"/>
          <c:showVal val="0"/>
          <c:showCatName val="0"/>
          <c:showSerName val="0"/>
          <c:showPercent val="0"/>
          <c:showBubbleSize val="0"/>
          <c:showLeaderLines val="0"/>
        </c:dLbls>
        <c:firstSliceAng val="0"/>
      </c:pieChart>
    </c:plotArea>
    <c:plotVisOnly val="1"/>
    <c:dispBlanksAs val="zero"/>
    <c:showDLblsOverMax val="1"/>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chemeClr val="dk1"/>
                </a:solidFill>
                <a:latin typeface="Trebuchet MS" panose="020B0703020202090204" pitchFamily="34" charset="0"/>
              </a:defRPr>
            </a:pPr>
            <a:r>
              <a:rPr lang="en-US" sz="1800" b="1" i="0">
                <a:solidFill>
                  <a:schemeClr val="dk1"/>
                </a:solidFill>
                <a:latin typeface="Trebuchet MS" panose="020B0703020202090204" pitchFamily="34" charset="0"/>
              </a:rPr>
              <a:t>Total Terminated Employee Gender Profile in Q1</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BC3B-4A4E-AEC0-760C00810AA9}"/>
              </c:ext>
            </c:extLst>
          </c:dPt>
          <c:dPt>
            <c:idx val="1"/>
            <c:bubble3D val="0"/>
            <c:spPr>
              <a:solidFill>
                <a:schemeClr val="accent2"/>
              </a:solidFill>
            </c:spPr>
            <c:extLst>
              <c:ext xmlns:c16="http://schemas.microsoft.com/office/drawing/2014/chart" uri="{C3380CC4-5D6E-409C-BE32-E72D297353CC}">
                <c16:uniqueId val="{00000003-BC3B-4A4E-AEC0-760C00810AA9}"/>
              </c:ext>
            </c:extLst>
          </c:dPt>
          <c:dPt>
            <c:idx val="2"/>
            <c:bubble3D val="0"/>
            <c:spPr>
              <a:solidFill>
                <a:schemeClr val="accent3"/>
              </a:solidFill>
            </c:spPr>
            <c:extLst>
              <c:ext xmlns:c16="http://schemas.microsoft.com/office/drawing/2014/chart" uri="{C3380CC4-5D6E-409C-BE32-E72D297353CC}">
                <c16:uniqueId val="{00000005-BC3B-4A4E-AEC0-760C00810AA9}"/>
              </c:ext>
            </c:extLst>
          </c:dPt>
          <c:dPt>
            <c:idx val="3"/>
            <c:bubble3D val="0"/>
            <c:spPr>
              <a:solidFill>
                <a:schemeClr val="accent4"/>
              </a:solidFill>
            </c:spPr>
            <c:extLst>
              <c:ext xmlns:c16="http://schemas.microsoft.com/office/drawing/2014/chart" uri="{C3380CC4-5D6E-409C-BE32-E72D297353CC}">
                <c16:uniqueId val="{00000007-BC3B-4A4E-AEC0-760C00810AA9}"/>
              </c:ext>
            </c:extLst>
          </c:dPt>
          <c:dLbls>
            <c:dLbl>
              <c:idx val="0"/>
              <c:layout>
                <c:manualLayout>
                  <c:x val="-4.7483380816714223E-2"/>
                  <c:y val="5.259087393658156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C3B-4A4E-AEC0-760C00810AA9}"/>
                </c:ext>
              </c:extLst>
            </c:dLbl>
            <c:dLbl>
              <c:idx val="1"/>
              <c:layout>
                <c:manualLayout>
                  <c:x val="-4.4484679852006444E-2"/>
                  <c:y val="-9.6592441755518777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C3B-4A4E-AEC0-760C00810AA9}"/>
                </c:ext>
              </c:extLst>
            </c:dLbl>
            <c:dLbl>
              <c:idx val="2"/>
              <c:layout>
                <c:manualLayout>
                  <c:x val="5.2572803461462161E-2"/>
                  <c:y val="-4.5469434196462434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C3B-4A4E-AEC0-760C00810AA9}"/>
                </c:ext>
              </c:extLst>
            </c:dLbl>
            <c:dLbl>
              <c:idx val="3"/>
              <c:layout>
                <c:manualLayout>
                  <c:x val="4.4484679852006444E-2"/>
                  <c:y val="1.237432327919572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C3B-4A4E-AEC0-760C00810AA9}"/>
                </c:ext>
              </c:extLst>
            </c:dLbl>
            <c:dLbl>
              <c:idx val="4"/>
              <c:layout>
                <c:manualLayout>
                  <c:x val="5.5080721747388414E-2"/>
                  <c:y val="5.259087393658156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1175-5A48-B0ED-C127C0A3FCB5}"/>
                </c:ext>
              </c:extLst>
            </c:dLbl>
            <c:spPr>
              <a:solidFill>
                <a:srgbClr val="FFFFFF"/>
              </a:solidFill>
              <a:ln>
                <a:solidFill>
                  <a:srgbClr val="31216B">
                    <a:lumMod val="65000"/>
                    <a:lumOff val="35000"/>
                  </a:srgbClr>
                </a:solidFill>
              </a:ln>
              <a:effectLst/>
            </c:spPr>
            <c:txPr>
              <a:bodyPr wrap="square" lIns="38100" tIns="19050" rIns="38100" bIns="19050" anchor="ctr">
                <a:spAutoFit/>
              </a:bodyPr>
              <a:lstStyle/>
              <a:p>
                <a:pPr>
                  <a:defRPr b="0" i="0">
                    <a:latin typeface="Trebuchet MS" panose="020B0703020202090204" pitchFamily="34" charset="0"/>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c15:spPr>
              </c:ext>
            </c:extLst>
          </c:dLbls>
          <c:cat>
            <c:strRef>
              <c:f>Calculations!$O$427:$O$431</c:f>
              <c:strCache>
                <c:ptCount val="5"/>
                <c:pt idx="0">
                  <c:v>Female</c:v>
                </c:pt>
                <c:pt idx="1">
                  <c:v>Male</c:v>
                </c:pt>
                <c:pt idx="2">
                  <c:v>Nonbinary</c:v>
                </c:pt>
                <c:pt idx="3">
                  <c:v>Other</c:v>
                </c:pt>
                <c:pt idx="4">
                  <c:v>Prefers not to disclose</c:v>
                </c:pt>
              </c:strCache>
            </c:strRef>
          </c:cat>
          <c:val>
            <c:numRef>
              <c:f>Calculations!$P$427:$P$431</c:f>
              <c:numCache>
                <c:formatCode>General</c:formatCode>
                <c:ptCount val="5"/>
                <c:pt idx="0">
                  <c:v>#N/A</c:v>
                </c:pt>
                <c:pt idx="1">
                  <c:v>#N/A</c:v>
                </c:pt>
                <c:pt idx="2">
                  <c:v>#N/A</c:v>
                </c:pt>
                <c:pt idx="3">
                  <c:v>#N/A</c:v>
                </c:pt>
                <c:pt idx="4">
                  <c:v>#N/A</c:v>
                </c:pt>
              </c:numCache>
            </c:numRef>
          </c:val>
          <c:extLst>
            <c:ext xmlns:c16="http://schemas.microsoft.com/office/drawing/2014/chart" uri="{C3380CC4-5D6E-409C-BE32-E72D297353CC}">
              <c16:uniqueId val="{00000008-BC3B-4A4E-AEC0-760C00810AA9}"/>
            </c:ext>
          </c:extLst>
        </c:ser>
        <c:dLbls>
          <c:showLegendKey val="0"/>
          <c:showVal val="0"/>
          <c:showCatName val="0"/>
          <c:showSerName val="0"/>
          <c:showPercent val="0"/>
          <c:showBubbleSize val="0"/>
          <c:showLeaderLines val="0"/>
        </c:dLbls>
        <c:firstSliceAng val="0"/>
      </c:pieChart>
    </c:plotArea>
    <c:plotVisOnly val="1"/>
    <c:dispBlanksAs val="zero"/>
    <c:showDLblsOverMax val="1"/>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chemeClr val="dk1"/>
                </a:solidFill>
                <a:latin typeface="Trebuchet MS" panose="020B0703020202090204" pitchFamily="34" charset="0"/>
              </a:defRPr>
            </a:pPr>
            <a:r>
              <a:rPr lang="en-US" sz="1800" b="1" i="0">
                <a:solidFill>
                  <a:schemeClr val="dk1"/>
                </a:solidFill>
                <a:latin typeface="Trebuchet MS" panose="020B0703020202090204" pitchFamily="34" charset="0"/>
              </a:rPr>
              <a:t>Total New Employee Race Profile in Q1</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0984-5048-84E6-FD2D4E72606D}"/>
              </c:ext>
            </c:extLst>
          </c:dPt>
          <c:dPt>
            <c:idx val="1"/>
            <c:bubble3D val="0"/>
            <c:spPr>
              <a:solidFill>
                <a:schemeClr val="accent2"/>
              </a:solidFill>
            </c:spPr>
            <c:extLst>
              <c:ext xmlns:c16="http://schemas.microsoft.com/office/drawing/2014/chart" uri="{C3380CC4-5D6E-409C-BE32-E72D297353CC}">
                <c16:uniqueId val="{00000003-0984-5048-84E6-FD2D4E72606D}"/>
              </c:ext>
            </c:extLst>
          </c:dPt>
          <c:dPt>
            <c:idx val="2"/>
            <c:bubble3D val="0"/>
            <c:spPr>
              <a:solidFill>
                <a:schemeClr val="accent3"/>
              </a:solidFill>
            </c:spPr>
            <c:extLst>
              <c:ext xmlns:c16="http://schemas.microsoft.com/office/drawing/2014/chart" uri="{C3380CC4-5D6E-409C-BE32-E72D297353CC}">
                <c16:uniqueId val="{00000005-0984-5048-84E6-FD2D4E72606D}"/>
              </c:ext>
            </c:extLst>
          </c:dPt>
          <c:dPt>
            <c:idx val="3"/>
            <c:bubble3D val="0"/>
            <c:spPr>
              <a:solidFill>
                <a:schemeClr val="accent4"/>
              </a:solidFill>
            </c:spPr>
            <c:extLst>
              <c:ext xmlns:c16="http://schemas.microsoft.com/office/drawing/2014/chart" uri="{C3380CC4-5D6E-409C-BE32-E72D297353CC}">
                <c16:uniqueId val="{00000007-0984-5048-84E6-FD2D4E72606D}"/>
              </c:ext>
            </c:extLst>
          </c:dPt>
          <c:dPt>
            <c:idx val="4"/>
            <c:bubble3D val="0"/>
            <c:spPr>
              <a:solidFill>
                <a:schemeClr val="accent5"/>
              </a:solidFill>
            </c:spPr>
            <c:extLst>
              <c:ext xmlns:c16="http://schemas.microsoft.com/office/drawing/2014/chart" uri="{C3380CC4-5D6E-409C-BE32-E72D297353CC}">
                <c16:uniqueId val="{00000009-0984-5048-84E6-FD2D4E72606D}"/>
              </c:ext>
            </c:extLst>
          </c:dPt>
          <c:dPt>
            <c:idx val="5"/>
            <c:bubble3D val="0"/>
            <c:spPr>
              <a:solidFill>
                <a:srgbClr val="FFD0D4"/>
              </a:solidFill>
            </c:spPr>
            <c:extLst>
              <c:ext xmlns:c16="http://schemas.microsoft.com/office/drawing/2014/chart" uri="{C3380CC4-5D6E-409C-BE32-E72D297353CC}">
                <c16:uniqueId val="{0000000A-A445-4946-B761-84F6440FD154}"/>
              </c:ext>
            </c:extLst>
          </c:dPt>
          <c:dLbls>
            <c:dLbl>
              <c:idx val="0"/>
              <c:layout>
                <c:manualLayout>
                  <c:x val="2.0429978661128589E-3"/>
                  <c:y val="-4.387047107707187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984-5048-84E6-FD2D4E72606D}"/>
                </c:ext>
              </c:extLst>
            </c:dLbl>
            <c:dLbl>
              <c:idx val="1"/>
              <c:layout>
                <c:manualLayout>
                  <c:x val="-4.6988950920595754E-2"/>
                  <c:y val="-1.223241590214067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984-5048-84E6-FD2D4E72606D}"/>
                </c:ext>
              </c:extLst>
            </c:dLbl>
            <c:dLbl>
              <c:idx val="2"/>
              <c:layout>
                <c:manualLayout>
                  <c:x val="-3.0644967991692956E-2"/>
                  <c:y val="-4.892966360856280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984-5048-84E6-FD2D4E72606D}"/>
                </c:ext>
              </c:extLst>
            </c:dLbl>
            <c:dLbl>
              <c:idx val="3"/>
              <c:layout>
                <c:manualLayout>
                  <c:x val="3.677396159003142E-2"/>
                  <c:y val="-5.810397553516819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984-5048-84E6-FD2D4E72606D}"/>
                </c:ext>
              </c:extLst>
            </c:dLbl>
            <c:dLbl>
              <c:idx val="4"/>
              <c:layout>
                <c:manualLayout>
                  <c:x val="4.4945953054482894E-2"/>
                  <c:y val="1.223241590214061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0984-5048-84E6-FD2D4E72606D}"/>
                </c:ext>
              </c:extLst>
            </c:dLbl>
            <c:dLbl>
              <c:idx val="5"/>
              <c:layout>
                <c:manualLayout>
                  <c:x val="5.9246938117272864E-2"/>
                  <c:y val="4.892966360856269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A445-4946-B761-84F6440FD154}"/>
                </c:ext>
              </c:extLst>
            </c:dLbl>
            <c:spPr>
              <a:solidFill>
                <a:srgbClr val="FFFFFF"/>
              </a:solidFill>
              <a:ln>
                <a:solidFill>
                  <a:srgbClr val="31216B">
                    <a:lumMod val="65000"/>
                    <a:lumOff val="35000"/>
                  </a:srgbClr>
                </a:solidFill>
              </a:ln>
              <a:effectLst/>
            </c:spPr>
            <c:txPr>
              <a:bodyPr wrap="square" lIns="38100" tIns="19050" rIns="38100" bIns="19050" anchor="ctr">
                <a:spAutoFit/>
              </a:bodyPr>
              <a:lstStyle/>
              <a:p>
                <a:pPr>
                  <a:defRPr b="0" i="0">
                    <a:latin typeface="Trebuchet MS" panose="020B0703020202090204" pitchFamily="34" charset="0"/>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c15:spPr>
              </c:ext>
            </c:extLst>
          </c:dLbls>
          <c:cat>
            <c:strRef>
              <c:f>Calculations!$I$449:$I$454</c:f>
              <c:strCache>
                <c:ptCount val="6"/>
                <c:pt idx="0">
                  <c:v>Asian</c:v>
                </c:pt>
                <c:pt idx="1">
                  <c:v>Black</c:v>
                </c:pt>
                <c:pt idx="2">
                  <c:v>Hispanic or Latino</c:v>
                </c:pt>
                <c:pt idx="3">
                  <c:v>White</c:v>
                </c:pt>
                <c:pt idx="4">
                  <c:v>American Indian/Alaska Native</c:v>
                </c:pt>
                <c:pt idx="5">
                  <c:v>Prefers not to identify</c:v>
                </c:pt>
              </c:strCache>
            </c:strRef>
          </c:cat>
          <c:val>
            <c:numRef>
              <c:f>Calculations!$J$449:$J$454</c:f>
              <c:numCache>
                <c:formatCode>General</c:formatCode>
                <c:ptCount val="6"/>
                <c:pt idx="0">
                  <c:v>#N/A</c:v>
                </c:pt>
                <c:pt idx="1">
                  <c:v>#N/A</c:v>
                </c:pt>
                <c:pt idx="2">
                  <c:v>#N/A</c:v>
                </c:pt>
                <c:pt idx="3">
                  <c:v>#N/A</c:v>
                </c:pt>
                <c:pt idx="4">
                  <c:v>#N/A</c:v>
                </c:pt>
                <c:pt idx="5">
                  <c:v>#N/A</c:v>
                </c:pt>
              </c:numCache>
            </c:numRef>
          </c:val>
          <c:extLst>
            <c:ext xmlns:c16="http://schemas.microsoft.com/office/drawing/2014/chart" uri="{C3380CC4-5D6E-409C-BE32-E72D297353CC}">
              <c16:uniqueId val="{0000000A-0984-5048-84E6-FD2D4E72606D}"/>
            </c:ext>
          </c:extLst>
        </c:ser>
        <c:dLbls>
          <c:showLegendKey val="0"/>
          <c:showVal val="0"/>
          <c:showCatName val="0"/>
          <c:showSerName val="0"/>
          <c:showPercent val="0"/>
          <c:showBubbleSize val="0"/>
          <c:showLeaderLines val="0"/>
        </c:dLbls>
        <c:firstSliceAng val="0"/>
      </c:pieChart>
    </c:plotArea>
    <c:plotVisOnly val="1"/>
    <c:dispBlanksAs val="zero"/>
    <c:showDLblsOverMax val="1"/>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chemeClr val="dk1"/>
                </a:solidFill>
                <a:latin typeface="Trebuchet MS" panose="020B0703020202090204" pitchFamily="34" charset="0"/>
              </a:defRPr>
            </a:pPr>
            <a:r>
              <a:rPr lang="en-US" sz="1800" b="1" i="0">
                <a:solidFill>
                  <a:schemeClr val="dk1"/>
                </a:solidFill>
                <a:latin typeface="Trebuchet MS" panose="020B0703020202090204" pitchFamily="34" charset="0"/>
              </a:rPr>
              <a:t>Total Terminated Employee Race Profile in Q1</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838F-D642-875E-63EDCD810F49}"/>
              </c:ext>
            </c:extLst>
          </c:dPt>
          <c:dPt>
            <c:idx val="1"/>
            <c:bubble3D val="0"/>
            <c:spPr>
              <a:solidFill>
                <a:schemeClr val="accent2"/>
              </a:solidFill>
            </c:spPr>
            <c:extLst>
              <c:ext xmlns:c16="http://schemas.microsoft.com/office/drawing/2014/chart" uri="{C3380CC4-5D6E-409C-BE32-E72D297353CC}">
                <c16:uniqueId val="{00000003-838F-D642-875E-63EDCD810F49}"/>
              </c:ext>
            </c:extLst>
          </c:dPt>
          <c:dPt>
            <c:idx val="2"/>
            <c:bubble3D val="0"/>
            <c:spPr>
              <a:solidFill>
                <a:schemeClr val="accent3"/>
              </a:solidFill>
            </c:spPr>
            <c:extLst>
              <c:ext xmlns:c16="http://schemas.microsoft.com/office/drawing/2014/chart" uri="{C3380CC4-5D6E-409C-BE32-E72D297353CC}">
                <c16:uniqueId val="{00000005-838F-D642-875E-63EDCD810F49}"/>
              </c:ext>
            </c:extLst>
          </c:dPt>
          <c:dPt>
            <c:idx val="3"/>
            <c:bubble3D val="0"/>
            <c:spPr>
              <a:solidFill>
                <a:schemeClr val="accent4"/>
              </a:solidFill>
            </c:spPr>
            <c:extLst>
              <c:ext xmlns:c16="http://schemas.microsoft.com/office/drawing/2014/chart" uri="{C3380CC4-5D6E-409C-BE32-E72D297353CC}">
                <c16:uniqueId val="{00000007-838F-D642-875E-63EDCD810F49}"/>
              </c:ext>
            </c:extLst>
          </c:dPt>
          <c:dPt>
            <c:idx val="4"/>
            <c:bubble3D val="0"/>
            <c:spPr>
              <a:solidFill>
                <a:schemeClr val="accent5"/>
              </a:solidFill>
            </c:spPr>
            <c:extLst>
              <c:ext xmlns:c16="http://schemas.microsoft.com/office/drawing/2014/chart" uri="{C3380CC4-5D6E-409C-BE32-E72D297353CC}">
                <c16:uniqueId val="{00000009-838F-D642-875E-63EDCD810F49}"/>
              </c:ext>
            </c:extLst>
          </c:dPt>
          <c:dPt>
            <c:idx val="5"/>
            <c:bubble3D val="0"/>
            <c:spPr>
              <a:solidFill>
                <a:srgbClr val="FFD0D4"/>
              </a:solidFill>
            </c:spPr>
            <c:extLst>
              <c:ext xmlns:c16="http://schemas.microsoft.com/office/drawing/2014/chart" uri="{C3380CC4-5D6E-409C-BE32-E72D297353CC}">
                <c16:uniqueId val="{0000000A-3F02-D049-B961-1616F21761C3}"/>
              </c:ext>
            </c:extLst>
          </c:dPt>
          <c:dLbls>
            <c:dLbl>
              <c:idx val="0"/>
              <c:layout>
                <c:manualLayout>
                  <c:x val="-3.4319244639624956E-2"/>
                  <c:y val="4.012345679012345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38F-D642-875E-63EDCD810F49}"/>
                </c:ext>
              </c:extLst>
            </c:dLbl>
            <c:dLbl>
              <c:idx val="1"/>
              <c:layout>
                <c:manualLayout>
                  <c:x val="-4.643191921831602E-2"/>
                  <c:y val="3.514496124356151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38F-D642-875E-63EDCD810F49}"/>
                </c:ext>
              </c:extLst>
            </c:dLbl>
            <c:dLbl>
              <c:idx val="2"/>
              <c:layout>
                <c:manualLayout>
                  <c:x val="-3.8356802832521998E-2"/>
                  <c:y val="-4.012345679012345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38F-D642-875E-63EDCD810F49}"/>
                </c:ext>
              </c:extLst>
            </c:dLbl>
            <c:dLbl>
              <c:idx val="3"/>
              <c:layout>
                <c:manualLayout>
                  <c:x val="3.8356802832521929E-2"/>
                  <c:y val="-4.938271604938271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38F-D642-875E-63EDCD810F49}"/>
                </c:ext>
              </c:extLst>
            </c:dLbl>
            <c:dLbl>
              <c:idx val="4"/>
              <c:layout>
                <c:manualLayout>
                  <c:x val="6.4600931086352717E-2"/>
                  <c:y val="6.1728395061727828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838F-D642-875E-63EDCD810F49}"/>
                </c:ext>
              </c:extLst>
            </c:dLbl>
            <c:dLbl>
              <c:idx val="5"/>
              <c:layout>
                <c:manualLayout>
                  <c:x val="8.07511638579409E-2"/>
                  <c:y val="5.4119094581699199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3F02-D049-B961-1616F21761C3}"/>
                </c:ext>
              </c:extLst>
            </c:dLbl>
            <c:spPr>
              <a:solidFill>
                <a:srgbClr val="FFFFFF"/>
              </a:solidFill>
              <a:ln>
                <a:solidFill>
                  <a:srgbClr val="31216B">
                    <a:lumMod val="65000"/>
                    <a:lumOff val="35000"/>
                  </a:srgbClr>
                </a:solidFill>
              </a:ln>
              <a:effectLst/>
            </c:spPr>
            <c:txPr>
              <a:bodyPr wrap="square" lIns="38100" tIns="19050" rIns="38100" bIns="19050" anchor="ctr">
                <a:spAutoFit/>
              </a:bodyPr>
              <a:lstStyle/>
              <a:p>
                <a:pPr>
                  <a:defRPr b="0" i="0">
                    <a:latin typeface="Trebuchet MS" panose="020B0703020202090204" pitchFamily="34" charset="0"/>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c15:spPr>
              </c:ext>
            </c:extLst>
          </c:dLbls>
          <c:cat>
            <c:strRef>
              <c:f>Calculations!$O$449:$O$454</c:f>
              <c:strCache>
                <c:ptCount val="6"/>
                <c:pt idx="0">
                  <c:v>Asian</c:v>
                </c:pt>
                <c:pt idx="1">
                  <c:v>Black</c:v>
                </c:pt>
                <c:pt idx="2">
                  <c:v>Hispanic or Latino</c:v>
                </c:pt>
                <c:pt idx="3">
                  <c:v>White</c:v>
                </c:pt>
                <c:pt idx="4">
                  <c:v>American Indian/Alaska Native</c:v>
                </c:pt>
                <c:pt idx="5">
                  <c:v>Prefers not to identify</c:v>
                </c:pt>
              </c:strCache>
            </c:strRef>
          </c:cat>
          <c:val>
            <c:numRef>
              <c:f>Calculations!$P$449:$P$454</c:f>
              <c:numCache>
                <c:formatCode>General</c:formatCode>
                <c:ptCount val="6"/>
                <c:pt idx="0">
                  <c:v>#N/A</c:v>
                </c:pt>
                <c:pt idx="1">
                  <c:v>#N/A</c:v>
                </c:pt>
                <c:pt idx="2">
                  <c:v>#N/A</c:v>
                </c:pt>
                <c:pt idx="3">
                  <c:v>#N/A</c:v>
                </c:pt>
                <c:pt idx="4">
                  <c:v>#N/A</c:v>
                </c:pt>
                <c:pt idx="5">
                  <c:v>#N/A</c:v>
                </c:pt>
              </c:numCache>
            </c:numRef>
          </c:val>
          <c:extLst>
            <c:ext xmlns:c16="http://schemas.microsoft.com/office/drawing/2014/chart" uri="{C3380CC4-5D6E-409C-BE32-E72D297353CC}">
              <c16:uniqueId val="{0000000A-838F-D642-875E-63EDCD810F49}"/>
            </c:ext>
          </c:extLst>
        </c:ser>
        <c:dLbls>
          <c:showLegendKey val="0"/>
          <c:showVal val="0"/>
          <c:showCatName val="0"/>
          <c:showSerName val="0"/>
          <c:showPercent val="0"/>
          <c:showBubbleSize val="0"/>
          <c:showLeaderLines val="0"/>
        </c:dLbls>
        <c:firstSliceAng val="0"/>
      </c:pieChart>
    </c:plotArea>
    <c:plotVisOnly val="1"/>
    <c:dispBlanksAs val="zero"/>
    <c:showDLblsOverMax val="1"/>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chemeClr val="dk1"/>
                </a:solidFill>
                <a:latin typeface="Trebuchet MS" panose="020B0703020202090204" pitchFamily="34" charset="0"/>
              </a:defRPr>
            </a:pPr>
            <a:r>
              <a:rPr lang="en-US" sz="1800" b="1" i="0">
                <a:solidFill>
                  <a:schemeClr val="dk1"/>
                </a:solidFill>
                <a:latin typeface="Trebuchet MS" panose="020B0703020202090204" pitchFamily="34" charset="0"/>
              </a:rPr>
              <a:t>Total New Employee Age Group Profile in Q1</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60D1-764D-99F7-1060A41393A9}"/>
              </c:ext>
            </c:extLst>
          </c:dPt>
          <c:dPt>
            <c:idx val="1"/>
            <c:bubble3D val="0"/>
            <c:spPr>
              <a:solidFill>
                <a:schemeClr val="accent2"/>
              </a:solidFill>
            </c:spPr>
            <c:extLst>
              <c:ext xmlns:c16="http://schemas.microsoft.com/office/drawing/2014/chart" uri="{C3380CC4-5D6E-409C-BE32-E72D297353CC}">
                <c16:uniqueId val="{00000003-60D1-764D-99F7-1060A41393A9}"/>
              </c:ext>
            </c:extLst>
          </c:dPt>
          <c:dPt>
            <c:idx val="2"/>
            <c:bubble3D val="0"/>
            <c:spPr>
              <a:solidFill>
                <a:schemeClr val="accent3"/>
              </a:solidFill>
            </c:spPr>
            <c:extLst>
              <c:ext xmlns:c16="http://schemas.microsoft.com/office/drawing/2014/chart" uri="{C3380CC4-5D6E-409C-BE32-E72D297353CC}">
                <c16:uniqueId val="{00000005-60D1-764D-99F7-1060A41393A9}"/>
              </c:ext>
            </c:extLst>
          </c:dPt>
          <c:dPt>
            <c:idx val="3"/>
            <c:bubble3D val="0"/>
            <c:spPr>
              <a:solidFill>
                <a:schemeClr val="accent4"/>
              </a:solidFill>
            </c:spPr>
            <c:extLst>
              <c:ext xmlns:c16="http://schemas.microsoft.com/office/drawing/2014/chart" uri="{C3380CC4-5D6E-409C-BE32-E72D297353CC}">
                <c16:uniqueId val="{00000007-60D1-764D-99F7-1060A41393A9}"/>
              </c:ext>
            </c:extLst>
          </c:dPt>
          <c:dPt>
            <c:idx val="4"/>
            <c:bubble3D val="0"/>
            <c:spPr>
              <a:solidFill>
                <a:schemeClr val="accent5"/>
              </a:solidFill>
            </c:spPr>
            <c:extLst>
              <c:ext xmlns:c16="http://schemas.microsoft.com/office/drawing/2014/chart" uri="{C3380CC4-5D6E-409C-BE32-E72D297353CC}">
                <c16:uniqueId val="{00000009-60D1-764D-99F7-1060A41393A9}"/>
              </c:ext>
            </c:extLst>
          </c:dPt>
          <c:dPt>
            <c:idx val="5"/>
            <c:bubble3D val="0"/>
            <c:spPr>
              <a:solidFill>
                <a:srgbClr val="FFD0D4"/>
              </a:solidFill>
            </c:spPr>
            <c:extLst>
              <c:ext xmlns:c16="http://schemas.microsoft.com/office/drawing/2014/chart" uri="{C3380CC4-5D6E-409C-BE32-E72D297353CC}">
                <c16:uniqueId val="{0000000B-60D1-764D-99F7-1060A41393A9}"/>
              </c:ext>
            </c:extLst>
          </c:dPt>
          <c:dPt>
            <c:idx val="6"/>
            <c:bubble3D val="0"/>
            <c:spPr>
              <a:solidFill>
                <a:schemeClr val="accent1"/>
              </a:solidFill>
            </c:spPr>
            <c:extLst>
              <c:ext xmlns:c16="http://schemas.microsoft.com/office/drawing/2014/chart" uri="{C3380CC4-5D6E-409C-BE32-E72D297353CC}">
                <c16:uniqueId val="{0000000D-60D1-764D-99F7-1060A41393A9}"/>
              </c:ext>
            </c:extLst>
          </c:dPt>
          <c:dPt>
            <c:idx val="7"/>
            <c:bubble3D val="0"/>
            <c:spPr>
              <a:solidFill>
                <a:schemeClr val="accent2"/>
              </a:solidFill>
            </c:spPr>
            <c:extLst>
              <c:ext xmlns:c16="http://schemas.microsoft.com/office/drawing/2014/chart" uri="{C3380CC4-5D6E-409C-BE32-E72D297353CC}">
                <c16:uniqueId val="{0000000F-60D1-764D-99F7-1060A41393A9}"/>
              </c:ext>
            </c:extLst>
          </c:dPt>
          <c:dPt>
            <c:idx val="8"/>
            <c:bubble3D val="0"/>
            <c:spPr>
              <a:solidFill>
                <a:schemeClr val="accent3"/>
              </a:solidFill>
            </c:spPr>
            <c:extLst>
              <c:ext xmlns:c16="http://schemas.microsoft.com/office/drawing/2014/chart" uri="{C3380CC4-5D6E-409C-BE32-E72D297353CC}">
                <c16:uniqueId val="{00000011-60D1-764D-99F7-1060A41393A9}"/>
              </c:ext>
            </c:extLst>
          </c:dPt>
          <c:dLbls>
            <c:dLbl>
              <c:idx val="0"/>
              <c:layout>
                <c:manualLayout>
                  <c:x val="-3.8628841032313829E-2"/>
                  <c:y val="5.504587155963303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0D1-764D-99F7-1060A41393A9}"/>
                </c:ext>
              </c:extLst>
            </c:dLbl>
            <c:dLbl>
              <c:idx val="1"/>
              <c:layout>
                <c:manualLayout>
                  <c:x val="-4.8794325514501732E-2"/>
                  <c:y val="3.0581039755351123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0D1-764D-99F7-1060A41393A9}"/>
                </c:ext>
              </c:extLst>
            </c:dLbl>
            <c:dLbl>
              <c:idx val="2"/>
              <c:layout>
                <c:manualLayout>
                  <c:x val="-4.472813172162645E-2"/>
                  <c:y val="-7.3258694030809094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0D1-764D-99F7-1060A41393A9}"/>
                </c:ext>
              </c:extLst>
            </c:dLbl>
            <c:dLbl>
              <c:idx val="3"/>
              <c:layout>
                <c:manualLayout>
                  <c:x val="4.4728131721626416E-2"/>
                  <c:y val="-1.103630667861248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0D1-764D-99F7-1060A41393A9}"/>
                </c:ext>
              </c:extLst>
            </c:dLbl>
            <c:dLbl>
              <c:idx val="4"/>
              <c:layout>
                <c:manualLayout>
                  <c:x val="3.4562647239438624E-2"/>
                  <c:y val="-3.0581039755352801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0D1-764D-99F7-1060A41393A9}"/>
                </c:ext>
              </c:extLst>
            </c:dLbl>
            <c:dLbl>
              <c:idx val="5"/>
              <c:layout>
                <c:manualLayout>
                  <c:x val="2.4397162757250793E-2"/>
                  <c:y val="0"/>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60D1-764D-99F7-1060A41393A9}"/>
                </c:ext>
              </c:extLst>
            </c:dLbl>
            <c:dLbl>
              <c:idx val="6"/>
              <c:layout>
                <c:manualLayout>
                  <c:x val="2.4397162757250793E-2"/>
                  <c:y val="2.446483180428134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60D1-764D-99F7-1060A41393A9}"/>
                </c:ext>
              </c:extLst>
            </c:dLbl>
            <c:dLbl>
              <c:idx val="7"/>
              <c:layout>
                <c:manualLayout>
                  <c:x val="2.0330968964375661E-2"/>
                  <c:y val="4.892966360856269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60D1-764D-99F7-1060A41393A9}"/>
                </c:ext>
              </c:extLst>
            </c:dLbl>
            <c:dLbl>
              <c:idx val="8"/>
              <c:layout>
                <c:manualLayout>
                  <c:x val="6.0992906893126983E-3"/>
                  <c:y val="3.975535168195718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60D1-764D-99F7-1060A41393A9}"/>
                </c:ext>
              </c:extLst>
            </c:dLbl>
            <c:spPr>
              <a:solidFill>
                <a:srgbClr val="FFFFFF"/>
              </a:solidFill>
              <a:ln>
                <a:solidFill>
                  <a:srgbClr val="31216B">
                    <a:lumMod val="65000"/>
                    <a:lumOff val="35000"/>
                  </a:srgbClr>
                </a:solidFill>
              </a:ln>
              <a:effectLst/>
            </c:spPr>
            <c:txPr>
              <a:bodyPr wrap="square" lIns="38100" tIns="19050" rIns="38100" bIns="19050" anchor="ctr">
                <a:spAutoFit/>
              </a:bodyPr>
              <a:lstStyle/>
              <a:p>
                <a:pPr>
                  <a:defRPr b="0" i="0">
                    <a:latin typeface="Trebuchet MS" panose="020B0703020202090204" pitchFamily="34" charset="0"/>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c15:spPr>
              </c:ext>
            </c:extLst>
          </c:dLbls>
          <c:cat>
            <c:strRef>
              <c:f>Calculations!$I$475:$I$483</c:f>
              <c:strCache>
                <c:ptCount val="9"/>
                <c:pt idx="0">
                  <c:v>18-25</c:v>
                </c:pt>
                <c:pt idx="1">
                  <c:v>26-30</c:v>
                </c:pt>
                <c:pt idx="2">
                  <c:v>31-35</c:v>
                </c:pt>
                <c:pt idx="3">
                  <c:v>36-40</c:v>
                </c:pt>
                <c:pt idx="4">
                  <c:v>41-45</c:v>
                </c:pt>
                <c:pt idx="5">
                  <c:v>46-50</c:v>
                </c:pt>
                <c:pt idx="6">
                  <c:v>51-55</c:v>
                </c:pt>
                <c:pt idx="7">
                  <c:v>56-60</c:v>
                </c:pt>
                <c:pt idx="8">
                  <c:v>61-65</c:v>
                </c:pt>
              </c:strCache>
            </c:strRef>
          </c:cat>
          <c:val>
            <c:numRef>
              <c:f>Calculations!$J$475:$J$483</c:f>
              <c:numCache>
                <c:formatCode>General</c:formatCode>
                <c:ptCount val="9"/>
                <c:pt idx="0">
                  <c:v>#N/A</c:v>
                </c:pt>
                <c:pt idx="1">
                  <c:v>#N/A</c:v>
                </c:pt>
                <c:pt idx="2">
                  <c:v>#N/A</c:v>
                </c:pt>
                <c:pt idx="3">
                  <c:v>#N/A</c:v>
                </c:pt>
                <c:pt idx="4">
                  <c:v>#N/A</c:v>
                </c:pt>
                <c:pt idx="5">
                  <c:v>#N/A</c:v>
                </c:pt>
                <c:pt idx="6">
                  <c:v>#N/A</c:v>
                </c:pt>
                <c:pt idx="7">
                  <c:v>#N/A</c:v>
                </c:pt>
                <c:pt idx="8">
                  <c:v>#N/A</c:v>
                </c:pt>
              </c:numCache>
            </c:numRef>
          </c:val>
          <c:extLst>
            <c:ext xmlns:c16="http://schemas.microsoft.com/office/drawing/2014/chart" uri="{C3380CC4-5D6E-409C-BE32-E72D297353CC}">
              <c16:uniqueId val="{00000012-60D1-764D-99F7-1060A41393A9}"/>
            </c:ext>
          </c:extLst>
        </c:ser>
        <c:dLbls>
          <c:showLegendKey val="0"/>
          <c:showVal val="0"/>
          <c:showCatName val="0"/>
          <c:showSerName val="0"/>
          <c:showPercent val="0"/>
          <c:showBubbleSize val="0"/>
          <c:showLeaderLines val="0"/>
        </c:dLbls>
        <c:firstSliceAng val="0"/>
      </c:pieChart>
    </c:plotArea>
    <c:plotVisOnly val="1"/>
    <c:dispBlanksAs val="zero"/>
    <c:showDLblsOverMax val="1"/>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chemeClr val="dk1"/>
                </a:solidFill>
                <a:latin typeface="Trebuchet MS" panose="020B0703020202090204" pitchFamily="34" charset="0"/>
              </a:defRPr>
            </a:pPr>
            <a:r>
              <a:rPr lang="en-US" sz="1800" b="1" i="0">
                <a:solidFill>
                  <a:schemeClr val="dk1"/>
                </a:solidFill>
                <a:latin typeface="Trebuchet MS" panose="020B0703020202090204" pitchFamily="34" charset="0"/>
              </a:rPr>
              <a:t>Total Terminated Employee Age Group Profile in Q1</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4DE5-F140-949E-C732C103009F}"/>
              </c:ext>
            </c:extLst>
          </c:dPt>
          <c:dPt>
            <c:idx val="1"/>
            <c:bubble3D val="0"/>
            <c:spPr>
              <a:solidFill>
                <a:schemeClr val="accent2"/>
              </a:solidFill>
            </c:spPr>
            <c:extLst>
              <c:ext xmlns:c16="http://schemas.microsoft.com/office/drawing/2014/chart" uri="{C3380CC4-5D6E-409C-BE32-E72D297353CC}">
                <c16:uniqueId val="{00000003-4DE5-F140-949E-C732C103009F}"/>
              </c:ext>
            </c:extLst>
          </c:dPt>
          <c:dPt>
            <c:idx val="2"/>
            <c:bubble3D val="0"/>
            <c:spPr>
              <a:solidFill>
                <a:schemeClr val="accent3"/>
              </a:solidFill>
            </c:spPr>
            <c:extLst>
              <c:ext xmlns:c16="http://schemas.microsoft.com/office/drawing/2014/chart" uri="{C3380CC4-5D6E-409C-BE32-E72D297353CC}">
                <c16:uniqueId val="{00000005-4DE5-F140-949E-C732C103009F}"/>
              </c:ext>
            </c:extLst>
          </c:dPt>
          <c:dPt>
            <c:idx val="3"/>
            <c:bubble3D val="0"/>
            <c:spPr>
              <a:solidFill>
                <a:schemeClr val="accent4"/>
              </a:solidFill>
            </c:spPr>
            <c:extLst>
              <c:ext xmlns:c16="http://schemas.microsoft.com/office/drawing/2014/chart" uri="{C3380CC4-5D6E-409C-BE32-E72D297353CC}">
                <c16:uniqueId val="{00000007-4DE5-F140-949E-C732C103009F}"/>
              </c:ext>
            </c:extLst>
          </c:dPt>
          <c:dPt>
            <c:idx val="4"/>
            <c:bubble3D val="0"/>
            <c:spPr>
              <a:solidFill>
                <a:schemeClr val="accent5"/>
              </a:solidFill>
            </c:spPr>
            <c:extLst>
              <c:ext xmlns:c16="http://schemas.microsoft.com/office/drawing/2014/chart" uri="{C3380CC4-5D6E-409C-BE32-E72D297353CC}">
                <c16:uniqueId val="{00000009-4DE5-F140-949E-C732C103009F}"/>
              </c:ext>
            </c:extLst>
          </c:dPt>
          <c:dPt>
            <c:idx val="5"/>
            <c:bubble3D val="0"/>
            <c:spPr>
              <a:solidFill>
                <a:schemeClr val="accent6"/>
              </a:solidFill>
            </c:spPr>
            <c:extLst>
              <c:ext xmlns:c16="http://schemas.microsoft.com/office/drawing/2014/chart" uri="{C3380CC4-5D6E-409C-BE32-E72D297353CC}">
                <c16:uniqueId val="{0000000B-4DE5-F140-949E-C732C103009F}"/>
              </c:ext>
            </c:extLst>
          </c:dPt>
          <c:dPt>
            <c:idx val="6"/>
            <c:bubble3D val="0"/>
            <c:spPr>
              <a:solidFill>
                <a:schemeClr val="accent1"/>
              </a:solidFill>
            </c:spPr>
            <c:extLst>
              <c:ext xmlns:c16="http://schemas.microsoft.com/office/drawing/2014/chart" uri="{C3380CC4-5D6E-409C-BE32-E72D297353CC}">
                <c16:uniqueId val="{0000000D-4DE5-F140-949E-C732C103009F}"/>
              </c:ext>
            </c:extLst>
          </c:dPt>
          <c:dPt>
            <c:idx val="7"/>
            <c:bubble3D val="0"/>
            <c:spPr>
              <a:solidFill>
                <a:schemeClr val="accent2"/>
              </a:solidFill>
            </c:spPr>
            <c:extLst>
              <c:ext xmlns:c16="http://schemas.microsoft.com/office/drawing/2014/chart" uri="{C3380CC4-5D6E-409C-BE32-E72D297353CC}">
                <c16:uniqueId val="{0000000F-4DE5-F140-949E-C732C103009F}"/>
              </c:ext>
            </c:extLst>
          </c:dPt>
          <c:dPt>
            <c:idx val="8"/>
            <c:bubble3D val="0"/>
            <c:spPr>
              <a:solidFill>
                <a:schemeClr val="accent3"/>
              </a:solidFill>
            </c:spPr>
            <c:extLst>
              <c:ext xmlns:c16="http://schemas.microsoft.com/office/drawing/2014/chart" uri="{C3380CC4-5D6E-409C-BE32-E72D297353CC}">
                <c16:uniqueId val="{00000011-4DE5-F140-949E-C732C103009F}"/>
              </c:ext>
            </c:extLst>
          </c:dPt>
          <c:dLbls>
            <c:dLbl>
              <c:idx val="0"/>
              <c:layout>
                <c:manualLayout>
                  <c:x val="-5.0469477411213208E-2"/>
                  <c:y val="2.1901715894880693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DE5-F140-949E-C732C103009F}"/>
                </c:ext>
              </c:extLst>
            </c:dLbl>
            <c:dLbl>
              <c:idx val="1"/>
              <c:layout>
                <c:manualLayout>
                  <c:x val="-4.6431919218316089E-2"/>
                  <c:y val="1.851851851851846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DE5-F140-949E-C732C103009F}"/>
                </c:ext>
              </c:extLst>
            </c:dLbl>
            <c:dLbl>
              <c:idx val="2"/>
              <c:layout>
                <c:manualLayout>
                  <c:x val="-5.0469477411213139E-2"/>
                  <c:y val="-2.160493827160505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DE5-F140-949E-C732C103009F}"/>
                </c:ext>
              </c:extLst>
            </c:dLbl>
            <c:dLbl>
              <c:idx val="3"/>
              <c:layout>
                <c:manualLayout>
                  <c:x val="-2.6244128253830792E-2"/>
                  <c:y val="-5.864197530864197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DE5-F140-949E-C732C103009F}"/>
                </c:ext>
              </c:extLst>
            </c:dLbl>
            <c:dLbl>
              <c:idx val="4"/>
              <c:layout>
                <c:manualLayout>
                  <c:x val="3.0281686446727799E-2"/>
                  <c:y val="-4.629629629629641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4DE5-F140-949E-C732C103009F}"/>
                </c:ext>
              </c:extLst>
            </c:dLbl>
            <c:dLbl>
              <c:idx val="5"/>
              <c:layout>
                <c:manualLayout>
                  <c:x val="4.8450698314764541E-2"/>
                  <c:y val="9.259259259259316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4DE5-F140-949E-C732C103009F}"/>
                </c:ext>
              </c:extLst>
            </c:dLbl>
            <c:dLbl>
              <c:idx val="6"/>
              <c:layout>
                <c:manualLayout>
                  <c:x val="3.8356802832521929E-2"/>
                  <c:y val="3.395061728395061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4DE5-F140-949E-C732C103009F}"/>
                </c:ext>
              </c:extLst>
            </c:dLbl>
            <c:dLbl>
              <c:idx val="7"/>
              <c:layout>
                <c:manualLayout>
                  <c:x val="3.6338023736073408E-2"/>
                  <c:y val="4.012345679012345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4DE5-F140-949E-C732C103009F}"/>
                </c:ext>
              </c:extLst>
            </c:dLbl>
            <c:dLbl>
              <c:idx val="8"/>
              <c:layout>
                <c:manualLayout>
                  <c:x val="1.0093895482242612E-2"/>
                  <c:y val="3.703703703703703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4DE5-F140-949E-C732C103009F}"/>
                </c:ext>
              </c:extLst>
            </c:dLbl>
            <c:spPr>
              <a:solidFill>
                <a:srgbClr val="FFFFFF"/>
              </a:solidFill>
              <a:ln>
                <a:solidFill>
                  <a:srgbClr val="31216B">
                    <a:lumMod val="65000"/>
                    <a:lumOff val="35000"/>
                  </a:srgbClr>
                </a:solidFill>
              </a:ln>
              <a:effectLst/>
            </c:spPr>
            <c:txPr>
              <a:bodyPr wrap="square" lIns="38100" tIns="19050" rIns="38100" bIns="19050" anchor="ctr">
                <a:spAutoFit/>
              </a:bodyPr>
              <a:lstStyle/>
              <a:p>
                <a:pPr>
                  <a:defRPr b="0" i="0">
                    <a:latin typeface="Trebuchet MS" panose="020B0703020202090204" pitchFamily="34" charset="0"/>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c15:spPr>
              </c:ext>
            </c:extLst>
          </c:dLbls>
          <c:cat>
            <c:strRef>
              <c:f>Calculations!$O$475:$O$483</c:f>
              <c:strCache>
                <c:ptCount val="9"/>
                <c:pt idx="0">
                  <c:v>18-25</c:v>
                </c:pt>
                <c:pt idx="1">
                  <c:v>26-30</c:v>
                </c:pt>
                <c:pt idx="2">
                  <c:v>31-35</c:v>
                </c:pt>
                <c:pt idx="3">
                  <c:v>36-40</c:v>
                </c:pt>
                <c:pt idx="4">
                  <c:v>41-45</c:v>
                </c:pt>
                <c:pt idx="5">
                  <c:v>46-50</c:v>
                </c:pt>
                <c:pt idx="6">
                  <c:v>51-55</c:v>
                </c:pt>
                <c:pt idx="7">
                  <c:v>56-60</c:v>
                </c:pt>
                <c:pt idx="8">
                  <c:v>61-65</c:v>
                </c:pt>
              </c:strCache>
            </c:strRef>
          </c:cat>
          <c:val>
            <c:numRef>
              <c:f>Calculations!$P$475:$P$483</c:f>
              <c:numCache>
                <c:formatCode>General</c:formatCode>
                <c:ptCount val="9"/>
                <c:pt idx="0">
                  <c:v>#N/A</c:v>
                </c:pt>
                <c:pt idx="1">
                  <c:v>#N/A</c:v>
                </c:pt>
                <c:pt idx="2">
                  <c:v>#N/A</c:v>
                </c:pt>
                <c:pt idx="3">
                  <c:v>#N/A</c:v>
                </c:pt>
                <c:pt idx="4">
                  <c:v>#N/A</c:v>
                </c:pt>
                <c:pt idx="5">
                  <c:v>#N/A</c:v>
                </c:pt>
                <c:pt idx="6">
                  <c:v>#N/A</c:v>
                </c:pt>
                <c:pt idx="7">
                  <c:v>#N/A</c:v>
                </c:pt>
                <c:pt idx="8">
                  <c:v>#N/A</c:v>
                </c:pt>
              </c:numCache>
            </c:numRef>
          </c:val>
          <c:extLst>
            <c:ext xmlns:c16="http://schemas.microsoft.com/office/drawing/2014/chart" uri="{C3380CC4-5D6E-409C-BE32-E72D297353CC}">
              <c16:uniqueId val="{00000012-4DE5-F140-949E-C732C103009F}"/>
            </c:ext>
          </c:extLst>
        </c:ser>
        <c:dLbls>
          <c:showLegendKey val="0"/>
          <c:showVal val="0"/>
          <c:showCatName val="0"/>
          <c:showSerName val="0"/>
          <c:showPercent val="0"/>
          <c:showBubbleSize val="0"/>
          <c:showLeaderLines val="0"/>
        </c:dLbls>
        <c:firstSliceAng val="0"/>
      </c:pieChart>
    </c:plotArea>
    <c:plotVisOnly val="1"/>
    <c:dispBlanksAs val="zero"/>
    <c:showDLblsOverMax val="1"/>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chemeClr val="dk1"/>
                </a:solidFill>
                <a:latin typeface="Trebuchet MS" panose="020B0703020202090204" pitchFamily="34" charset="0"/>
              </a:defRPr>
            </a:pPr>
            <a:r>
              <a:rPr lang="en-US" sz="1800" b="1" i="0">
                <a:solidFill>
                  <a:schemeClr val="dk1"/>
                </a:solidFill>
                <a:latin typeface="Trebuchet MS" panose="020B0703020202090204" pitchFamily="34" charset="0"/>
              </a:rPr>
              <a:t>New Employee per Position in Q1</a:t>
            </a:r>
          </a:p>
        </c:rich>
      </c:tx>
      <c:overlay val="0"/>
    </c:title>
    <c:autoTitleDeleted val="0"/>
    <c:plotArea>
      <c:layout/>
      <c:barChart>
        <c:barDir val="col"/>
        <c:grouping val="clustered"/>
        <c:varyColors val="1"/>
        <c:ser>
          <c:idx val="0"/>
          <c:order val="0"/>
          <c:spPr>
            <a:solidFill>
              <a:srgbClr val="B0E7FF"/>
            </a:solidFill>
            <a:ln cmpd="sng">
              <a:noFill/>
            </a:ln>
          </c:spPr>
          <c:invertIfNegative val="1"/>
          <c:dLbls>
            <c:spPr>
              <a:noFill/>
              <a:ln>
                <a:noFill/>
              </a:ln>
              <a:effectLst/>
            </c:spPr>
            <c:txPr>
              <a:bodyPr/>
              <a:lstStyle/>
              <a:p>
                <a:pPr lvl="0">
                  <a:defRPr sz="800" b="0" i="0">
                    <a:solidFill>
                      <a:srgbClr val="31216B"/>
                    </a:solidFill>
                    <a:latin typeface="Trebuchet MS" panose="020B070302020209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Calculations!$G$141:$G$190</c:f>
              <c:strCache>
                <c:ptCount val="50"/>
                <c:pt idx="0">
                  <c:v>Position 1</c:v>
                </c:pt>
                <c:pt idx="1">
                  <c:v>Position 2</c:v>
                </c:pt>
                <c:pt idx="2">
                  <c:v>Position 3</c:v>
                </c:pt>
                <c:pt idx="3">
                  <c:v>Position 4</c:v>
                </c:pt>
                <c:pt idx="4">
                  <c:v>Position 5</c:v>
                </c:pt>
                <c:pt idx="5">
                  <c:v>Position 6</c:v>
                </c:pt>
                <c:pt idx="6">
                  <c:v>Position 7</c:v>
                </c:pt>
                <c:pt idx="7">
                  <c:v>Position 8</c:v>
                </c:pt>
                <c:pt idx="8">
                  <c:v>Position 9</c:v>
                </c:pt>
                <c:pt idx="9">
                  <c:v>Position 10</c:v>
                </c:pt>
                <c:pt idx="10">
                  <c:v>Position 11</c:v>
                </c:pt>
                <c:pt idx="11">
                  <c:v>Position 12</c:v>
                </c:pt>
                <c:pt idx="12">
                  <c:v>Position 13</c:v>
                </c:pt>
                <c:pt idx="13">
                  <c:v>Position 14</c:v>
                </c:pt>
                <c:pt idx="14">
                  <c:v>Position 15</c:v>
                </c:pt>
                <c:pt idx="15">
                  <c:v>Position 16</c:v>
                </c:pt>
                <c:pt idx="16">
                  <c:v>Position 17</c:v>
                </c:pt>
                <c:pt idx="17">
                  <c:v>Position 18</c:v>
                </c:pt>
                <c:pt idx="18">
                  <c:v>Position 19</c:v>
                </c:pt>
                <c:pt idx="19">
                  <c:v>Position 20</c:v>
                </c:pt>
                <c:pt idx="20">
                  <c:v>Position 21</c:v>
                </c:pt>
                <c:pt idx="21">
                  <c:v>Position 22</c:v>
                </c:pt>
                <c:pt idx="22">
                  <c:v>Position 23</c:v>
                </c:pt>
                <c:pt idx="23">
                  <c:v>Position 24</c:v>
                </c:pt>
                <c:pt idx="24">
                  <c:v>Position 25</c:v>
                </c:pt>
                <c:pt idx="25">
                  <c:v>Position 26</c:v>
                </c:pt>
                <c:pt idx="26">
                  <c:v>Position 27</c:v>
                </c:pt>
                <c:pt idx="27">
                  <c:v>Position 28</c:v>
                </c:pt>
                <c:pt idx="28">
                  <c:v>Position 29</c:v>
                </c:pt>
                <c:pt idx="29">
                  <c:v>Position 30</c:v>
                </c:pt>
                <c:pt idx="30">
                  <c:v>Position 31</c:v>
                </c:pt>
                <c:pt idx="31">
                  <c:v>Position 32</c:v>
                </c:pt>
                <c:pt idx="32">
                  <c:v>Position 33</c:v>
                </c:pt>
                <c:pt idx="33">
                  <c:v>Position 34</c:v>
                </c:pt>
                <c:pt idx="34">
                  <c:v>Position 35</c:v>
                </c:pt>
                <c:pt idx="35">
                  <c:v>Position 36</c:v>
                </c:pt>
                <c:pt idx="36">
                  <c:v>Position 37</c:v>
                </c:pt>
                <c:pt idx="37">
                  <c:v>Position 38</c:v>
                </c:pt>
                <c:pt idx="38">
                  <c:v>Position 39</c:v>
                </c:pt>
                <c:pt idx="39">
                  <c:v>Position 40</c:v>
                </c:pt>
                <c:pt idx="40">
                  <c:v>Position 41</c:v>
                </c:pt>
                <c:pt idx="41">
                  <c:v>Position 42</c:v>
                </c:pt>
                <c:pt idx="42">
                  <c:v>Position 43</c:v>
                </c:pt>
                <c:pt idx="43">
                  <c:v>Position 44</c:v>
                </c:pt>
                <c:pt idx="44">
                  <c:v>Position 45</c:v>
                </c:pt>
                <c:pt idx="45">
                  <c:v>Position 46</c:v>
                </c:pt>
                <c:pt idx="46">
                  <c:v>Position 47</c:v>
                </c:pt>
                <c:pt idx="47">
                  <c:v>Position 48</c:v>
                </c:pt>
                <c:pt idx="48">
                  <c:v>Position 49</c:v>
                </c:pt>
                <c:pt idx="49">
                  <c:v>Position 50</c:v>
                </c:pt>
              </c:strCache>
            </c:strRef>
          </c:cat>
          <c:val>
            <c:numRef>
              <c:f>Calculations!$H$141:$H$190</c:f>
              <c:numCache>
                <c:formatCode>General</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0-493E-0647-8038-C793ED36B857}"/>
            </c:ext>
          </c:extLst>
        </c:ser>
        <c:dLbls>
          <c:showLegendKey val="0"/>
          <c:showVal val="0"/>
          <c:showCatName val="0"/>
          <c:showSerName val="0"/>
          <c:showPercent val="0"/>
          <c:showBubbleSize val="0"/>
        </c:dLbls>
        <c:gapWidth val="150"/>
        <c:axId val="1370609343"/>
        <c:axId val="1193902295"/>
      </c:barChart>
      <c:catAx>
        <c:axId val="1370609343"/>
        <c:scaling>
          <c:orientation val="minMax"/>
        </c:scaling>
        <c:delete val="0"/>
        <c:axPos val="b"/>
        <c:title>
          <c:tx>
            <c:rich>
              <a:bodyPr/>
              <a:lstStyle/>
              <a:p>
                <a:pPr lvl="0">
                  <a:defRPr b="0">
                    <a:solidFill>
                      <a:srgbClr val="31216B"/>
                    </a:solidFill>
                    <a:latin typeface="+mn-lt"/>
                  </a:defRPr>
                </a:pPr>
                <a:endParaRPr lang="en-NL"/>
              </a:p>
            </c:rich>
          </c:tx>
          <c:overlay val="0"/>
        </c:title>
        <c:numFmt formatCode="General" sourceLinked="1"/>
        <c:majorTickMark val="none"/>
        <c:minorTickMark val="none"/>
        <c:tickLblPos val="nextTo"/>
        <c:txPr>
          <a:bodyPr/>
          <a:lstStyle/>
          <a:p>
            <a:pPr lvl="0">
              <a:defRPr sz="1200" b="0" i="0">
                <a:solidFill>
                  <a:schemeClr val="dk1"/>
                </a:solidFill>
                <a:latin typeface="Trebuchet MS" panose="020B0703020202090204" pitchFamily="34" charset="0"/>
              </a:defRPr>
            </a:pPr>
            <a:endParaRPr lang="en-US"/>
          </a:p>
        </c:txPr>
        <c:crossAx val="1193902295"/>
        <c:crosses val="autoZero"/>
        <c:auto val="1"/>
        <c:lblAlgn val="ctr"/>
        <c:lblOffset val="100"/>
        <c:noMultiLvlLbl val="1"/>
      </c:catAx>
      <c:valAx>
        <c:axId val="1193902295"/>
        <c:scaling>
          <c:orientation val="minMax"/>
        </c:scaling>
        <c:delete val="1"/>
        <c:axPos val="l"/>
        <c:title>
          <c:tx>
            <c:rich>
              <a:bodyPr/>
              <a:lstStyle/>
              <a:p>
                <a:pPr lvl="0">
                  <a:defRPr b="0">
                    <a:solidFill>
                      <a:srgbClr val="31216B"/>
                    </a:solidFill>
                    <a:latin typeface="+mn-lt"/>
                  </a:defRPr>
                </a:pPr>
                <a:endParaRPr lang="en-NL"/>
              </a:p>
            </c:rich>
          </c:tx>
          <c:overlay val="0"/>
        </c:title>
        <c:numFmt formatCode="General" sourceLinked="1"/>
        <c:majorTickMark val="none"/>
        <c:minorTickMark val="none"/>
        <c:tickLblPos val="nextTo"/>
        <c:crossAx val="1370609343"/>
        <c:crosses val="autoZero"/>
        <c:crossBetween val="between"/>
      </c:valAx>
    </c:plotArea>
    <c:plotVisOnly val="1"/>
    <c:dispBlanksAs val="zero"/>
    <c:showDLblsOverMax val="1"/>
  </c:chart>
  <c:spPr>
    <a:solidFill>
      <a:schemeClr val="lt1"/>
    </a:solidFill>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chemeClr val="dk1"/>
                </a:solidFill>
                <a:latin typeface="Trebuchet MS" panose="020B0703020202090204" pitchFamily="34" charset="0"/>
              </a:defRPr>
            </a:pPr>
            <a:r>
              <a:rPr lang="en-US" sz="1800" b="1" i="0">
                <a:solidFill>
                  <a:schemeClr val="dk1"/>
                </a:solidFill>
                <a:latin typeface="Trebuchet MS" panose="020B0703020202090204" pitchFamily="34" charset="0"/>
              </a:rPr>
              <a:t>Terminated Employee per Position in Q1</a:t>
            </a:r>
          </a:p>
        </c:rich>
      </c:tx>
      <c:overlay val="0"/>
    </c:title>
    <c:autoTitleDeleted val="0"/>
    <c:plotArea>
      <c:layout/>
      <c:barChart>
        <c:barDir val="col"/>
        <c:grouping val="clustered"/>
        <c:varyColors val="1"/>
        <c:ser>
          <c:idx val="0"/>
          <c:order val="0"/>
          <c:spPr>
            <a:solidFill>
              <a:srgbClr val="B0E7FF"/>
            </a:solidFill>
            <a:ln cmpd="sng">
              <a:noFill/>
            </a:ln>
          </c:spPr>
          <c:invertIfNegative val="1"/>
          <c:dPt>
            <c:idx val="2"/>
            <c:invertIfNegative val="1"/>
            <c:bubble3D val="0"/>
            <c:spPr>
              <a:solidFill>
                <a:schemeClr val="accent1"/>
              </a:solidFill>
              <a:ln cmpd="sng">
                <a:noFill/>
              </a:ln>
            </c:spPr>
            <c:extLst>
              <c:ext xmlns:c16="http://schemas.microsoft.com/office/drawing/2014/chart" uri="{C3380CC4-5D6E-409C-BE32-E72D297353CC}">
                <c16:uniqueId val="{00000001-B79E-4E42-8759-2196F14B1DBB}"/>
              </c:ext>
            </c:extLst>
          </c:dPt>
          <c:dPt>
            <c:idx val="4"/>
            <c:invertIfNegative val="1"/>
            <c:bubble3D val="0"/>
            <c:spPr>
              <a:solidFill>
                <a:schemeClr val="accent1"/>
              </a:solidFill>
              <a:ln cmpd="sng">
                <a:noFill/>
              </a:ln>
            </c:spPr>
            <c:extLst>
              <c:ext xmlns:c16="http://schemas.microsoft.com/office/drawing/2014/chart" uri="{C3380CC4-5D6E-409C-BE32-E72D297353CC}">
                <c16:uniqueId val="{00000003-B79E-4E42-8759-2196F14B1DBB}"/>
              </c:ext>
            </c:extLst>
          </c:dPt>
          <c:dPt>
            <c:idx val="6"/>
            <c:invertIfNegative val="1"/>
            <c:bubble3D val="0"/>
            <c:spPr>
              <a:solidFill>
                <a:schemeClr val="accent1"/>
              </a:solidFill>
              <a:ln cmpd="sng">
                <a:noFill/>
              </a:ln>
            </c:spPr>
            <c:extLst>
              <c:ext xmlns:c16="http://schemas.microsoft.com/office/drawing/2014/chart" uri="{C3380CC4-5D6E-409C-BE32-E72D297353CC}">
                <c16:uniqueId val="{00000005-B79E-4E42-8759-2196F14B1DBB}"/>
              </c:ext>
            </c:extLst>
          </c:dPt>
          <c:dPt>
            <c:idx val="12"/>
            <c:invertIfNegative val="1"/>
            <c:bubble3D val="0"/>
            <c:spPr>
              <a:solidFill>
                <a:schemeClr val="accent1"/>
              </a:solidFill>
              <a:ln cmpd="sng">
                <a:noFill/>
              </a:ln>
            </c:spPr>
            <c:extLst>
              <c:ext xmlns:c16="http://schemas.microsoft.com/office/drawing/2014/chart" uri="{C3380CC4-5D6E-409C-BE32-E72D297353CC}">
                <c16:uniqueId val="{00000007-B79E-4E42-8759-2196F14B1DBB}"/>
              </c:ext>
            </c:extLst>
          </c:dPt>
          <c:dLbls>
            <c:spPr>
              <a:noFill/>
              <a:ln>
                <a:noFill/>
              </a:ln>
              <a:effectLst/>
            </c:spPr>
            <c:txPr>
              <a:bodyPr/>
              <a:lstStyle/>
              <a:p>
                <a:pPr lvl="0">
                  <a:defRPr sz="800" b="0" i="0">
                    <a:solidFill>
                      <a:srgbClr val="31216B"/>
                    </a:solidFill>
                    <a:latin typeface="Trebuchet MS" panose="020B070302020209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Calculations!$M$141:$M$190</c:f>
              <c:strCache>
                <c:ptCount val="50"/>
                <c:pt idx="0">
                  <c:v>Position 1</c:v>
                </c:pt>
                <c:pt idx="1">
                  <c:v>Position 2</c:v>
                </c:pt>
                <c:pt idx="2">
                  <c:v>Position 3</c:v>
                </c:pt>
                <c:pt idx="3">
                  <c:v>Position 4</c:v>
                </c:pt>
                <c:pt idx="4">
                  <c:v>Position 5</c:v>
                </c:pt>
                <c:pt idx="5">
                  <c:v>Position 6</c:v>
                </c:pt>
                <c:pt idx="6">
                  <c:v>Position 7</c:v>
                </c:pt>
                <c:pt idx="7">
                  <c:v>Position 8</c:v>
                </c:pt>
                <c:pt idx="8">
                  <c:v>Position 9</c:v>
                </c:pt>
                <c:pt idx="9">
                  <c:v>Position 10</c:v>
                </c:pt>
                <c:pt idx="10">
                  <c:v>Position 11</c:v>
                </c:pt>
                <c:pt idx="11">
                  <c:v>Position 12</c:v>
                </c:pt>
                <c:pt idx="12">
                  <c:v>Position 13</c:v>
                </c:pt>
                <c:pt idx="13">
                  <c:v>Position 14</c:v>
                </c:pt>
                <c:pt idx="14">
                  <c:v>Position 15</c:v>
                </c:pt>
                <c:pt idx="15">
                  <c:v>Position 16</c:v>
                </c:pt>
                <c:pt idx="16">
                  <c:v>Position 17</c:v>
                </c:pt>
                <c:pt idx="17">
                  <c:v>Position 18</c:v>
                </c:pt>
                <c:pt idx="18">
                  <c:v>Position 19</c:v>
                </c:pt>
                <c:pt idx="19">
                  <c:v>Position 20</c:v>
                </c:pt>
                <c:pt idx="20">
                  <c:v>Position 21</c:v>
                </c:pt>
                <c:pt idx="21">
                  <c:v>Position 22</c:v>
                </c:pt>
                <c:pt idx="22">
                  <c:v>Position 23</c:v>
                </c:pt>
                <c:pt idx="23">
                  <c:v>Position 24</c:v>
                </c:pt>
                <c:pt idx="24">
                  <c:v>Position 25</c:v>
                </c:pt>
                <c:pt idx="25">
                  <c:v>Position 26</c:v>
                </c:pt>
                <c:pt idx="26">
                  <c:v>Position 27</c:v>
                </c:pt>
                <c:pt idx="27">
                  <c:v>Position 28</c:v>
                </c:pt>
                <c:pt idx="28">
                  <c:v>Position 29</c:v>
                </c:pt>
                <c:pt idx="29">
                  <c:v>Position 30</c:v>
                </c:pt>
                <c:pt idx="30">
                  <c:v>Position 31</c:v>
                </c:pt>
                <c:pt idx="31">
                  <c:v>Position 32</c:v>
                </c:pt>
                <c:pt idx="32">
                  <c:v>Position 33</c:v>
                </c:pt>
                <c:pt idx="33">
                  <c:v>Position 34</c:v>
                </c:pt>
                <c:pt idx="34">
                  <c:v>Position 35</c:v>
                </c:pt>
                <c:pt idx="35">
                  <c:v>Position 36</c:v>
                </c:pt>
                <c:pt idx="36">
                  <c:v>Position 37</c:v>
                </c:pt>
                <c:pt idx="37">
                  <c:v>Position 38</c:v>
                </c:pt>
                <c:pt idx="38">
                  <c:v>Position 39</c:v>
                </c:pt>
                <c:pt idx="39">
                  <c:v>Position 40</c:v>
                </c:pt>
                <c:pt idx="40">
                  <c:v>Position 41</c:v>
                </c:pt>
                <c:pt idx="41">
                  <c:v>Position 42</c:v>
                </c:pt>
                <c:pt idx="42">
                  <c:v>Position 43</c:v>
                </c:pt>
                <c:pt idx="43">
                  <c:v>Position 44</c:v>
                </c:pt>
                <c:pt idx="44">
                  <c:v>Position 45</c:v>
                </c:pt>
                <c:pt idx="45">
                  <c:v>Position 46</c:v>
                </c:pt>
                <c:pt idx="46">
                  <c:v>Position 47</c:v>
                </c:pt>
                <c:pt idx="47">
                  <c:v>Position 48</c:v>
                </c:pt>
                <c:pt idx="48">
                  <c:v>Position 49</c:v>
                </c:pt>
                <c:pt idx="49">
                  <c:v>Position 50</c:v>
                </c:pt>
              </c:strCache>
            </c:strRef>
          </c:cat>
          <c:val>
            <c:numRef>
              <c:f>Calculations!$N$141:$N$190</c:f>
              <c:numCache>
                <c:formatCode>General</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8-B79E-4E42-8759-2196F14B1DBB}"/>
            </c:ext>
          </c:extLst>
        </c:ser>
        <c:dLbls>
          <c:showLegendKey val="0"/>
          <c:showVal val="0"/>
          <c:showCatName val="0"/>
          <c:showSerName val="0"/>
          <c:showPercent val="0"/>
          <c:showBubbleSize val="0"/>
        </c:dLbls>
        <c:gapWidth val="150"/>
        <c:axId val="333430317"/>
        <c:axId val="1595165664"/>
      </c:barChart>
      <c:catAx>
        <c:axId val="333430317"/>
        <c:scaling>
          <c:orientation val="minMax"/>
        </c:scaling>
        <c:delete val="0"/>
        <c:axPos val="b"/>
        <c:title>
          <c:tx>
            <c:rich>
              <a:bodyPr/>
              <a:lstStyle/>
              <a:p>
                <a:pPr lvl="0">
                  <a:defRPr b="0">
                    <a:solidFill>
                      <a:srgbClr val="31216B"/>
                    </a:solidFill>
                    <a:latin typeface="+mn-lt"/>
                  </a:defRPr>
                </a:pPr>
                <a:endParaRPr lang="en-NL"/>
              </a:p>
            </c:rich>
          </c:tx>
          <c:overlay val="0"/>
        </c:title>
        <c:numFmt formatCode="General" sourceLinked="1"/>
        <c:majorTickMark val="none"/>
        <c:minorTickMark val="none"/>
        <c:tickLblPos val="nextTo"/>
        <c:txPr>
          <a:bodyPr/>
          <a:lstStyle/>
          <a:p>
            <a:pPr lvl="0">
              <a:defRPr sz="1200" b="0" i="0">
                <a:solidFill>
                  <a:schemeClr val="dk1"/>
                </a:solidFill>
                <a:latin typeface="Trebuchet MS" panose="020B0703020202090204" pitchFamily="34" charset="0"/>
              </a:defRPr>
            </a:pPr>
            <a:endParaRPr lang="en-US"/>
          </a:p>
        </c:txPr>
        <c:crossAx val="1595165664"/>
        <c:crosses val="autoZero"/>
        <c:auto val="1"/>
        <c:lblAlgn val="ctr"/>
        <c:lblOffset val="100"/>
        <c:noMultiLvlLbl val="1"/>
      </c:catAx>
      <c:valAx>
        <c:axId val="1595165664"/>
        <c:scaling>
          <c:orientation val="minMax"/>
        </c:scaling>
        <c:delete val="1"/>
        <c:axPos val="l"/>
        <c:title>
          <c:tx>
            <c:rich>
              <a:bodyPr/>
              <a:lstStyle/>
              <a:p>
                <a:pPr lvl="0">
                  <a:defRPr b="0">
                    <a:solidFill>
                      <a:srgbClr val="31216B"/>
                    </a:solidFill>
                    <a:latin typeface="+mn-lt"/>
                  </a:defRPr>
                </a:pPr>
                <a:endParaRPr lang="en-NL"/>
              </a:p>
            </c:rich>
          </c:tx>
          <c:overlay val="0"/>
        </c:title>
        <c:numFmt formatCode="General" sourceLinked="1"/>
        <c:majorTickMark val="none"/>
        <c:minorTickMark val="none"/>
        <c:tickLblPos val="nextTo"/>
        <c:crossAx val="333430317"/>
        <c:crosses val="autoZero"/>
        <c:crossBetween val="between"/>
      </c:valAx>
    </c:plotArea>
    <c:plotVisOnly val="1"/>
    <c:dispBlanksAs val="zero"/>
    <c:showDLblsOverMax val="1"/>
  </c:chart>
  <c:spPr>
    <a:solidFill>
      <a:schemeClr val="lt1"/>
    </a:solidFill>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chemeClr val="dk1"/>
                </a:solidFill>
                <a:latin typeface="Trebuchet MS" panose="020B0703020202090204" pitchFamily="34" charset="0"/>
              </a:defRPr>
            </a:pPr>
            <a:r>
              <a:rPr lang="en-US" sz="1800" b="1" i="0">
                <a:solidFill>
                  <a:schemeClr val="dk1"/>
                </a:solidFill>
                <a:latin typeface="Trebuchet MS" panose="020B0703020202090204" pitchFamily="34" charset="0"/>
              </a:rPr>
              <a:t>New Employee per Business Unit in Q1</a:t>
            </a:r>
          </a:p>
        </c:rich>
      </c:tx>
      <c:overlay val="0"/>
    </c:title>
    <c:autoTitleDeleted val="0"/>
    <c:plotArea>
      <c:layout/>
      <c:barChart>
        <c:barDir val="col"/>
        <c:grouping val="clustered"/>
        <c:varyColors val="1"/>
        <c:ser>
          <c:idx val="0"/>
          <c:order val="0"/>
          <c:spPr>
            <a:solidFill>
              <a:srgbClr val="B0E7FF"/>
            </a:solidFill>
            <a:ln cmpd="sng">
              <a:noFill/>
            </a:ln>
          </c:spPr>
          <c:invertIfNegative val="1"/>
          <c:dLbls>
            <c:spPr>
              <a:noFill/>
              <a:ln>
                <a:noFill/>
              </a:ln>
              <a:effectLst/>
            </c:spPr>
            <c:txPr>
              <a:bodyPr/>
              <a:lstStyle/>
              <a:p>
                <a:pPr lvl="0">
                  <a:defRPr sz="800" b="0" i="0">
                    <a:solidFill>
                      <a:srgbClr val="31216B"/>
                    </a:solidFill>
                    <a:latin typeface="Trebuchet MS" panose="020B070302020209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Calculations!$G$343:$G$356</c:f>
              <c:strCache>
                <c:ptCount val="14"/>
                <c:pt idx="0">
                  <c:v>BU 1</c:v>
                </c:pt>
                <c:pt idx="1">
                  <c:v>BU 2</c:v>
                </c:pt>
                <c:pt idx="2">
                  <c:v>BU 3</c:v>
                </c:pt>
                <c:pt idx="3">
                  <c:v>BU 4</c:v>
                </c:pt>
                <c:pt idx="4">
                  <c:v>BU 5</c:v>
                </c:pt>
                <c:pt idx="5">
                  <c:v>BU 6</c:v>
                </c:pt>
                <c:pt idx="6">
                  <c:v>BU 7</c:v>
                </c:pt>
                <c:pt idx="7">
                  <c:v>BU 8</c:v>
                </c:pt>
                <c:pt idx="8">
                  <c:v>BU 9</c:v>
                </c:pt>
                <c:pt idx="9">
                  <c:v>BU 10</c:v>
                </c:pt>
                <c:pt idx="10">
                  <c:v>BU 11</c:v>
                </c:pt>
                <c:pt idx="11">
                  <c:v>BU 12</c:v>
                </c:pt>
                <c:pt idx="12">
                  <c:v>BU 13</c:v>
                </c:pt>
                <c:pt idx="13">
                  <c:v>BU 14</c:v>
                </c:pt>
              </c:strCache>
            </c:strRef>
          </c:cat>
          <c:val>
            <c:numRef>
              <c:f>Calculations!$H$343:$H$356</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0-E0D1-094C-8C2A-AF5779C538B3}"/>
            </c:ext>
          </c:extLst>
        </c:ser>
        <c:dLbls>
          <c:showLegendKey val="0"/>
          <c:showVal val="0"/>
          <c:showCatName val="0"/>
          <c:showSerName val="0"/>
          <c:showPercent val="0"/>
          <c:showBubbleSize val="0"/>
        </c:dLbls>
        <c:gapWidth val="150"/>
        <c:axId val="369328608"/>
        <c:axId val="1368516327"/>
      </c:barChart>
      <c:catAx>
        <c:axId val="369328608"/>
        <c:scaling>
          <c:orientation val="minMax"/>
        </c:scaling>
        <c:delete val="0"/>
        <c:axPos val="b"/>
        <c:title>
          <c:tx>
            <c:rich>
              <a:bodyPr/>
              <a:lstStyle/>
              <a:p>
                <a:pPr lvl="0">
                  <a:defRPr b="0">
                    <a:solidFill>
                      <a:srgbClr val="31216B"/>
                    </a:solidFill>
                    <a:latin typeface="+mn-lt"/>
                  </a:defRPr>
                </a:pPr>
                <a:endParaRPr lang="en-NL"/>
              </a:p>
            </c:rich>
          </c:tx>
          <c:overlay val="0"/>
        </c:title>
        <c:numFmt formatCode="General" sourceLinked="1"/>
        <c:majorTickMark val="none"/>
        <c:minorTickMark val="none"/>
        <c:tickLblPos val="nextTo"/>
        <c:txPr>
          <a:bodyPr/>
          <a:lstStyle/>
          <a:p>
            <a:pPr lvl="0">
              <a:defRPr sz="1200" b="0" i="0">
                <a:solidFill>
                  <a:schemeClr val="dk1"/>
                </a:solidFill>
                <a:latin typeface="Trebuchet MS" panose="020B0703020202090204" pitchFamily="34" charset="0"/>
              </a:defRPr>
            </a:pPr>
            <a:endParaRPr lang="en-US"/>
          </a:p>
        </c:txPr>
        <c:crossAx val="1368516327"/>
        <c:crosses val="autoZero"/>
        <c:auto val="1"/>
        <c:lblAlgn val="ctr"/>
        <c:lblOffset val="100"/>
        <c:noMultiLvlLbl val="1"/>
      </c:catAx>
      <c:valAx>
        <c:axId val="1368516327"/>
        <c:scaling>
          <c:orientation val="minMax"/>
        </c:scaling>
        <c:delete val="1"/>
        <c:axPos val="l"/>
        <c:title>
          <c:tx>
            <c:rich>
              <a:bodyPr/>
              <a:lstStyle/>
              <a:p>
                <a:pPr lvl="0">
                  <a:defRPr b="0">
                    <a:solidFill>
                      <a:srgbClr val="31216B"/>
                    </a:solidFill>
                    <a:latin typeface="+mn-lt"/>
                  </a:defRPr>
                </a:pPr>
                <a:endParaRPr lang="en-NL"/>
              </a:p>
            </c:rich>
          </c:tx>
          <c:overlay val="0"/>
        </c:title>
        <c:numFmt formatCode="General" sourceLinked="1"/>
        <c:majorTickMark val="none"/>
        <c:minorTickMark val="none"/>
        <c:tickLblPos val="nextTo"/>
        <c:crossAx val="369328608"/>
        <c:crosses val="autoZero"/>
        <c:crossBetween val="between"/>
      </c:valAx>
    </c:plotArea>
    <c:plotVisOnly val="1"/>
    <c:dispBlanksAs val="zero"/>
    <c:showDLblsOverMax val="1"/>
  </c:chart>
  <c:spPr>
    <a:solidFill>
      <a:schemeClr val="lt1"/>
    </a:solidFill>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chemeClr val="dk1"/>
                </a:solidFill>
                <a:latin typeface="Trebuchet MS" panose="020B0703020202090204" pitchFamily="34" charset="0"/>
              </a:defRPr>
            </a:pPr>
            <a:r>
              <a:rPr lang="en-US" sz="1800" b="1" i="0">
                <a:solidFill>
                  <a:schemeClr val="dk1"/>
                </a:solidFill>
                <a:latin typeface="Trebuchet MS" panose="020B0703020202090204" pitchFamily="34" charset="0"/>
              </a:rPr>
              <a:t>Terminated Employee per Business Unit in Q1</a:t>
            </a:r>
          </a:p>
        </c:rich>
      </c:tx>
      <c:overlay val="0"/>
    </c:title>
    <c:autoTitleDeleted val="0"/>
    <c:plotArea>
      <c:layout/>
      <c:barChart>
        <c:barDir val="col"/>
        <c:grouping val="clustered"/>
        <c:varyColors val="1"/>
        <c:ser>
          <c:idx val="0"/>
          <c:order val="0"/>
          <c:spPr>
            <a:solidFill>
              <a:srgbClr val="B0E7FF"/>
            </a:solidFill>
            <a:ln cmpd="sng">
              <a:noFill/>
            </a:ln>
          </c:spPr>
          <c:invertIfNegative val="1"/>
          <c:dLbls>
            <c:spPr>
              <a:noFill/>
              <a:ln>
                <a:noFill/>
              </a:ln>
              <a:effectLst/>
            </c:spPr>
            <c:txPr>
              <a:bodyPr/>
              <a:lstStyle/>
              <a:p>
                <a:pPr lvl="0">
                  <a:defRPr sz="800" b="0" i="0">
                    <a:solidFill>
                      <a:srgbClr val="31216B"/>
                    </a:solidFill>
                    <a:latin typeface="Trebuchet MS" panose="020B070302020209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Calculations!$M$343:$M$356</c:f>
              <c:strCache>
                <c:ptCount val="14"/>
                <c:pt idx="0">
                  <c:v>BU 1</c:v>
                </c:pt>
                <c:pt idx="1">
                  <c:v>BU 2</c:v>
                </c:pt>
                <c:pt idx="2">
                  <c:v>BU 3</c:v>
                </c:pt>
                <c:pt idx="3">
                  <c:v>BU 4</c:v>
                </c:pt>
                <c:pt idx="4">
                  <c:v>BU 5</c:v>
                </c:pt>
                <c:pt idx="5">
                  <c:v>BU 6</c:v>
                </c:pt>
                <c:pt idx="6">
                  <c:v>BU 7</c:v>
                </c:pt>
                <c:pt idx="7">
                  <c:v>BU 8</c:v>
                </c:pt>
                <c:pt idx="8">
                  <c:v>BU 9</c:v>
                </c:pt>
                <c:pt idx="9">
                  <c:v>BU 10</c:v>
                </c:pt>
                <c:pt idx="10">
                  <c:v>BU 11</c:v>
                </c:pt>
                <c:pt idx="11">
                  <c:v>BU 12</c:v>
                </c:pt>
                <c:pt idx="12">
                  <c:v>BU 13</c:v>
                </c:pt>
                <c:pt idx="13">
                  <c:v>BU 14</c:v>
                </c:pt>
              </c:strCache>
            </c:strRef>
          </c:cat>
          <c:val>
            <c:numRef>
              <c:f>Calculations!$N$343:$N$356</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0-B881-FC4C-AE10-CED68A13E43D}"/>
            </c:ext>
          </c:extLst>
        </c:ser>
        <c:dLbls>
          <c:showLegendKey val="0"/>
          <c:showVal val="0"/>
          <c:showCatName val="0"/>
          <c:showSerName val="0"/>
          <c:showPercent val="0"/>
          <c:showBubbleSize val="0"/>
        </c:dLbls>
        <c:gapWidth val="150"/>
        <c:axId val="903565070"/>
        <c:axId val="918871470"/>
      </c:barChart>
      <c:catAx>
        <c:axId val="903565070"/>
        <c:scaling>
          <c:orientation val="minMax"/>
        </c:scaling>
        <c:delete val="0"/>
        <c:axPos val="b"/>
        <c:title>
          <c:tx>
            <c:rich>
              <a:bodyPr/>
              <a:lstStyle/>
              <a:p>
                <a:pPr lvl="0">
                  <a:defRPr b="0">
                    <a:solidFill>
                      <a:srgbClr val="31216B"/>
                    </a:solidFill>
                    <a:latin typeface="+mn-lt"/>
                  </a:defRPr>
                </a:pPr>
                <a:endParaRPr lang="en-NL"/>
              </a:p>
            </c:rich>
          </c:tx>
          <c:overlay val="0"/>
        </c:title>
        <c:numFmt formatCode="General" sourceLinked="1"/>
        <c:majorTickMark val="none"/>
        <c:minorTickMark val="none"/>
        <c:tickLblPos val="nextTo"/>
        <c:txPr>
          <a:bodyPr/>
          <a:lstStyle/>
          <a:p>
            <a:pPr lvl="0">
              <a:defRPr sz="1200" b="0" i="0">
                <a:solidFill>
                  <a:schemeClr val="dk1"/>
                </a:solidFill>
                <a:latin typeface="Trebuchet MS" panose="020B0703020202090204" pitchFamily="34" charset="0"/>
              </a:defRPr>
            </a:pPr>
            <a:endParaRPr lang="en-US"/>
          </a:p>
        </c:txPr>
        <c:crossAx val="918871470"/>
        <c:crosses val="autoZero"/>
        <c:auto val="1"/>
        <c:lblAlgn val="ctr"/>
        <c:lblOffset val="100"/>
        <c:noMultiLvlLbl val="1"/>
      </c:catAx>
      <c:valAx>
        <c:axId val="918871470"/>
        <c:scaling>
          <c:orientation val="minMax"/>
        </c:scaling>
        <c:delete val="1"/>
        <c:axPos val="l"/>
        <c:title>
          <c:tx>
            <c:rich>
              <a:bodyPr/>
              <a:lstStyle/>
              <a:p>
                <a:pPr lvl="0">
                  <a:defRPr b="0">
                    <a:solidFill>
                      <a:srgbClr val="31216B"/>
                    </a:solidFill>
                    <a:latin typeface="+mn-lt"/>
                  </a:defRPr>
                </a:pPr>
                <a:endParaRPr lang="en-NL"/>
              </a:p>
            </c:rich>
          </c:tx>
          <c:overlay val="0"/>
        </c:title>
        <c:numFmt formatCode="General" sourceLinked="1"/>
        <c:majorTickMark val="none"/>
        <c:minorTickMark val="none"/>
        <c:tickLblPos val="nextTo"/>
        <c:crossAx val="903565070"/>
        <c:crosses val="autoZero"/>
        <c:crossBetween val="between"/>
      </c:valAx>
    </c:plotArea>
    <c:plotVisOnly val="1"/>
    <c:dispBlanksAs val="zero"/>
    <c:showDLblsOverMax val="1"/>
  </c:chart>
  <c:spPr>
    <a:solidFill>
      <a:schemeClr val="lt1"/>
    </a:solidFill>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chemeClr val="dk1"/>
                </a:solidFill>
                <a:latin typeface="Trebuchet MS" panose="020B0703020202090204" pitchFamily="34" charset="0"/>
              </a:defRPr>
            </a:pPr>
            <a:r>
              <a:rPr lang="en-US" sz="1800" b="1" i="0">
                <a:solidFill>
                  <a:schemeClr val="dk1"/>
                </a:solidFill>
                <a:latin typeface="Trebuchet MS" panose="020B0703020202090204" pitchFamily="34" charset="0"/>
              </a:rPr>
              <a:t>Total Marital Status Profile</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3BFE-6941-8DFE-BF932ABFE085}"/>
              </c:ext>
            </c:extLst>
          </c:dPt>
          <c:dPt>
            <c:idx val="1"/>
            <c:bubble3D val="0"/>
            <c:spPr>
              <a:solidFill>
                <a:schemeClr val="accent2"/>
              </a:solidFill>
            </c:spPr>
            <c:extLst>
              <c:ext xmlns:c16="http://schemas.microsoft.com/office/drawing/2014/chart" uri="{C3380CC4-5D6E-409C-BE32-E72D297353CC}">
                <c16:uniqueId val="{00000003-3BFE-6941-8DFE-BF932ABFE085}"/>
              </c:ext>
            </c:extLst>
          </c:dPt>
          <c:dPt>
            <c:idx val="2"/>
            <c:bubble3D val="0"/>
            <c:spPr>
              <a:solidFill>
                <a:schemeClr val="accent3"/>
              </a:solidFill>
            </c:spPr>
            <c:extLst>
              <c:ext xmlns:c16="http://schemas.microsoft.com/office/drawing/2014/chart" uri="{C3380CC4-5D6E-409C-BE32-E72D297353CC}">
                <c16:uniqueId val="{00000005-3BFE-6941-8DFE-BF932ABFE085}"/>
              </c:ext>
            </c:extLst>
          </c:dPt>
          <c:dPt>
            <c:idx val="3"/>
            <c:bubble3D val="0"/>
            <c:spPr>
              <a:solidFill>
                <a:schemeClr val="accent4"/>
              </a:solidFill>
            </c:spPr>
            <c:extLst>
              <c:ext xmlns:c16="http://schemas.microsoft.com/office/drawing/2014/chart" uri="{C3380CC4-5D6E-409C-BE32-E72D297353CC}">
                <c16:uniqueId val="{00000007-3BFE-6941-8DFE-BF932ABFE085}"/>
              </c:ext>
            </c:extLst>
          </c:dPt>
          <c:dPt>
            <c:idx val="4"/>
            <c:bubble3D val="0"/>
            <c:spPr>
              <a:solidFill>
                <a:schemeClr val="accent5"/>
              </a:solidFill>
            </c:spPr>
            <c:extLst>
              <c:ext xmlns:c16="http://schemas.microsoft.com/office/drawing/2014/chart" uri="{C3380CC4-5D6E-409C-BE32-E72D297353CC}">
                <c16:uniqueId val="{00000009-3BFE-6941-8DFE-BF932ABFE085}"/>
              </c:ext>
            </c:extLst>
          </c:dPt>
          <c:dLbls>
            <c:dLbl>
              <c:idx val="0"/>
              <c:layout>
                <c:manualLayout>
                  <c:x val="-4.8126525475754016E-2"/>
                  <c:y val="6.6738449912793337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BFE-6941-8DFE-BF932ABFE085}"/>
                </c:ext>
              </c:extLst>
            </c:dLbl>
            <c:dLbl>
              <c:idx val="1"/>
              <c:layout>
                <c:manualLayout>
                  <c:x val="-6.068127125203783E-2"/>
                  <c:y val="-2.168999622165783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BFE-6941-8DFE-BF932ABFE085}"/>
                </c:ext>
              </c:extLst>
            </c:dLbl>
            <c:dLbl>
              <c:idx val="2"/>
              <c:layout>
                <c:manualLayout>
                  <c:x val="-3.3479322070089752E-2"/>
                  <c:y val="-3.170076370857683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BFE-6941-8DFE-BF932ABFE085}"/>
                </c:ext>
              </c:extLst>
            </c:dLbl>
            <c:dLbl>
              <c:idx val="3"/>
              <c:layout>
                <c:manualLayout>
                  <c:x val="1.2821493555915851E-2"/>
                  <c:y val="-4.184172174090702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BFE-6941-8DFE-BF932ABFE085}"/>
                </c:ext>
              </c:extLst>
            </c:dLbl>
            <c:dLbl>
              <c:idx val="4"/>
              <c:layout>
                <c:manualLayout>
                  <c:x val="3.97566949582316E-2"/>
                  <c:y val="1.835307372601810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3BFE-6941-8DFE-BF932ABFE085}"/>
                </c:ext>
              </c:extLst>
            </c:dLbl>
            <c:spPr>
              <a:solidFill>
                <a:srgbClr val="FFFFFF"/>
              </a:solidFill>
              <a:ln>
                <a:solidFill>
                  <a:srgbClr val="31216B">
                    <a:lumMod val="65000"/>
                    <a:lumOff val="35000"/>
                  </a:srgbClr>
                </a:solidFill>
              </a:ln>
              <a:effectLst/>
            </c:spPr>
            <c:txPr>
              <a:bodyPr wrap="square" lIns="38100" tIns="19050" rIns="38100" bIns="19050" anchor="ctr">
                <a:spAutoFit/>
              </a:bodyPr>
              <a:lstStyle/>
              <a:p>
                <a:pPr>
                  <a:defRPr b="0" i="0">
                    <a:solidFill>
                      <a:schemeClr val="tx1"/>
                    </a:solidFill>
                    <a:latin typeface="Trebuchet MS" panose="020B0703020202090204" pitchFamily="34" charset="0"/>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c15:spPr>
              </c:ext>
            </c:extLst>
          </c:dLbls>
          <c:cat>
            <c:strRef>
              <c:f>Calculations!$H$10:$H$14</c:f>
              <c:strCache>
                <c:ptCount val="5"/>
                <c:pt idx="0">
                  <c:v>Married</c:v>
                </c:pt>
                <c:pt idx="1">
                  <c:v>Widowed</c:v>
                </c:pt>
                <c:pt idx="2">
                  <c:v>Separated</c:v>
                </c:pt>
                <c:pt idx="3">
                  <c:v>Divorced</c:v>
                </c:pt>
                <c:pt idx="4">
                  <c:v>Single</c:v>
                </c:pt>
              </c:strCache>
            </c:strRef>
          </c:cat>
          <c:val>
            <c:numRef>
              <c:f>Calculations!$I$10:$I$14</c:f>
              <c:numCache>
                <c:formatCode>General</c:formatCode>
                <c:ptCount val="5"/>
                <c:pt idx="0">
                  <c:v>7</c:v>
                </c:pt>
                <c:pt idx="1">
                  <c:v>2</c:v>
                </c:pt>
                <c:pt idx="2">
                  <c:v>#N/A</c:v>
                </c:pt>
                <c:pt idx="3">
                  <c:v>3</c:v>
                </c:pt>
                <c:pt idx="4">
                  <c:v>9</c:v>
                </c:pt>
              </c:numCache>
            </c:numRef>
          </c:val>
          <c:extLst>
            <c:ext xmlns:c16="http://schemas.microsoft.com/office/drawing/2014/chart" uri="{C3380CC4-5D6E-409C-BE32-E72D297353CC}">
              <c16:uniqueId val="{0000000A-3BFE-6941-8DFE-BF932ABFE085}"/>
            </c:ext>
          </c:extLst>
        </c:ser>
        <c:dLbls>
          <c:showLegendKey val="0"/>
          <c:showVal val="0"/>
          <c:showCatName val="0"/>
          <c:showSerName val="0"/>
          <c:showPercent val="0"/>
          <c:showBubbleSize val="0"/>
          <c:showLeaderLines val="0"/>
        </c:dLbls>
        <c:firstSliceAng val="0"/>
      </c:pieChart>
    </c:plotArea>
    <c:plotVisOnly val="1"/>
    <c:dispBlanksAs val="zero"/>
    <c:showDLblsOverMax val="1"/>
  </c:chart>
  <c:spPr>
    <a:solidFill>
      <a:srgbClr val="FFFFFF"/>
    </a:solidFill>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chemeClr val="dk1"/>
                </a:solidFill>
                <a:latin typeface="Trebuchet MS" panose="020B0703020202090204" pitchFamily="34" charset="0"/>
              </a:defRPr>
            </a:pPr>
            <a:r>
              <a:rPr lang="en-US" sz="1800" b="1" i="0">
                <a:solidFill>
                  <a:schemeClr val="dk1"/>
                </a:solidFill>
                <a:latin typeface="Trebuchet MS" panose="020B0703020202090204" pitchFamily="34" charset="0"/>
              </a:rPr>
              <a:t>Total New Employee Occupational Level Profile in Q1</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AA84-D043-B678-9AD678F0DA95}"/>
              </c:ext>
            </c:extLst>
          </c:dPt>
          <c:dPt>
            <c:idx val="1"/>
            <c:bubble3D val="0"/>
            <c:spPr>
              <a:solidFill>
                <a:schemeClr val="accent2"/>
              </a:solidFill>
            </c:spPr>
            <c:extLst>
              <c:ext xmlns:c16="http://schemas.microsoft.com/office/drawing/2014/chart" uri="{C3380CC4-5D6E-409C-BE32-E72D297353CC}">
                <c16:uniqueId val="{00000003-AA84-D043-B678-9AD678F0DA95}"/>
              </c:ext>
            </c:extLst>
          </c:dPt>
          <c:dPt>
            <c:idx val="2"/>
            <c:bubble3D val="0"/>
            <c:spPr>
              <a:solidFill>
                <a:schemeClr val="accent3"/>
              </a:solidFill>
            </c:spPr>
            <c:extLst>
              <c:ext xmlns:c16="http://schemas.microsoft.com/office/drawing/2014/chart" uri="{C3380CC4-5D6E-409C-BE32-E72D297353CC}">
                <c16:uniqueId val="{00000005-AA84-D043-B678-9AD678F0DA95}"/>
              </c:ext>
            </c:extLst>
          </c:dPt>
          <c:dPt>
            <c:idx val="3"/>
            <c:bubble3D val="0"/>
            <c:spPr>
              <a:solidFill>
                <a:schemeClr val="accent4"/>
              </a:solidFill>
            </c:spPr>
            <c:extLst>
              <c:ext xmlns:c16="http://schemas.microsoft.com/office/drawing/2014/chart" uri="{C3380CC4-5D6E-409C-BE32-E72D297353CC}">
                <c16:uniqueId val="{00000007-AA84-D043-B678-9AD678F0DA95}"/>
              </c:ext>
            </c:extLst>
          </c:dPt>
          <c:dPt>
            <c:idx val="4"/>
            <c:bubble3D val="0"/>
            <c:spPr>
              <a:solidFill>
                <a:schemeClr val="accent5"/>
              </a:solidFill>
            </c:spPr>
            <c:extLst>
              <c:ext xmlns:c16="http://schemas.microsoft.com/office/drawing/2014/chart" uri="{C3380CC4-5D6E-409C-BE32-E72D297353CC}">
                <c16:uniqueId val="{00000009-AA84-D043-B678-9AD678F0DA95}"/>
              </c:ext>
            </c:extLst>
          </c:dPt>
          <c:dPt>
            <c:idx val="5"/>
            <c:bubble3D val="0"/>
            <c:spPr>
              <a:solidFill>
                <a:schemeClr val="accent6"/>
              </a:solidFill>
            </c:spPr>
            <c:extLst>
              <c:ext xmlns:c16="http://schemas.microsoft.com/office/drawing/2014/chart" uri="{C3380CC4-5D6E-409C-BE32-E72D297353CC}">
                <c16:uniqueId val="{0000000B-AA84-D043-B678-9AD678F0DA95}"/>
              </c:ext>
            </c:extLst>
          </c:dPt>
          <c:dLbls>
            <c:dLbl>
              <c:idx val="0"/>
              <c:layout>
                <c:manualLayout>
                  <c:x val="-6.9125305544896543E-2"/>
                  <c:y val="-6.1871616395978348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A84-D043-B678-9AD678F0DA95}"/>
                </c:ext>
              </c:extLst>
            </c:dLbl>
            <c:dLbl>
              <c:idx val="1"/>
              <c:layout>
                <c:manualLayout>
                  <c:x val="-5.2860527769626714E-2"/>
                  <c:y val="-4.331013147718484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A84-D043-B678-9AD678F0DA95}"/>
                </c:ext>
              </c:extLst>
            </c:dLbl>
            <c:dLbl>
              <c:idx val="2"/>
              <c:layout>
                <c:manualLayout>
                  <c:x val="2.6430263884813357E-2"/>
                  <c:y val="-3.093580819798928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A84-D043-B678-9AD678F0DA95}"/>
                </c:ext>
              </c:extLst>
            </c:dLbl>
            <c:dLbl>
              <c:idx val="3"/>
              <c:layout>
                <c:manualLayout>
                  <c:x val="0.11995273609261442"/>
                  <c:y val="0"/>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A84-D043-B678-9AD678F0DA95}"/>
                </c:ext>
              </c:extLst>
            </c:dLbl>
            <c:dLbl>
              <c:idx val="4"/>
              <c:layout>
                <c:manualLayout>
                  <c:x val="4.2695041660083075E-2"/>
                  <c:y val="2.474864655839133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AA84-D043-B678-9AD678F0DA95}"/>
                </c:ext>
              </c:extLst>
            </c:dLbl>
            <c:dLbl>
              <c:idx val="5"/>
              <c:layout>
                <c:manualLayout>
                  <c:x val="4.6761236103900553E-2"/>
                  <c:y val="5.56844547563804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AA84-D043-B678-9AD678F0DA95}"/>
                </c:ext>
              </c:extLst>
            </c:dLbl>
            <c:spPr>
              <a:solidFill>
                <a:srgbClr val="FFFFFF"/>
              </a:solidFill>
              <a:ln>
                <a:solidFill>
                  <a:srgbClr val="31216B">
                    <a:lumMod val="65000"/>
                    <a:lumOff val="35000"/>
                  </a:srgbClr>
                </a:solidFill>
              </a:ln>
              <a:effectLst/>
            </c:spPr>
            <c:txPr>
              <a:bodyPr wrap="square" lIns="38100" tIns="19050" rIns="38100" bIns="19050" anchor="ctr">
                <a:spAutoFit/>
              </a:bodyPr>
              <a:lstStyle/>
              <a:p>
                <a:pPr>
                  <a:defRPr b="0" i="0">
                    <a:latin typeface="Trebuchet MS" panose="020B0703020202090204" pitchFamily="34" charset="0"/>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c15:spPr>
              </c:ext>
            </c:extLst>
          </c:dLbls>
          <c:cat>
            <c:strRef>
              <c:f>Calculations!$I$401:$I$406</c:f>
              <c:strCache>
                <c:ptCount val="6"/>
                <c:pt idx="0">
                  <c:v>Employee</c:v>
                </c:pt>
                <c:pt idx="1">
                  <c:v>Junior Management</c:v>
                </c:pt>
                <c:pt idx="2">
                  <c:v>Management</c:v>
                </c:pt>
                <c:pt idx="3">
                  <c:v>Senior Management</c:v>
                </c:pt>
                <c:pt idx="4">
                  <c:v>Specialist</c:v>
                </c:pt>
                <c:pt idx="5">
                  <c:v>Executive</c:v>
                </c:pt>
              </c:strCache>
            </c:strRef>
          </c:cat>
          <c:val>
            <c:numRef>
              <c:f>Calculations!$J$401:$J$406</c:f>
              <c:numCache>
                <c:formatCode>General</c:formatCode>
                <c:ptCount val="6"/>
                <c:pt idx="0">
                  <c:v>#N/A</c:v>
                </c:pt>
                <c:pt idx="1">
                  <c:v>#N/A</c:v>
                </c:pt>
                <c:pt idx="2">
                  <c:v>#N/A</c:v>
                </c:pt>
                <c:pt idx="3">
                  <c:v>#N/A</c:v>
                </c:pt>
                <c:pt idx="4">
                  <c:v>#N/A</c:v>
                </c:pt>
                <c:pt idx="5">
                  <c:v>#N/A</c:v>
                </c:pt>
              </c:numCache>
            </c:numRef>
          </c:val>
          <c:extLst>
            <c:ext xmlns:c16="http://schemas.microsoft.com/office/drawing/2014/chart" uri="{C3380CC4-5D6E-409C-BE32-E72D297353CC}">
              <c16:uniqueId val="{0000000C-AA84-D043-B678-9AD678F0DA95}"/>
            </c:ext>
          </c:extLst>
        </c:ser>
        <c:dLbls>
          <c:showLegendKey val="0"/>
          <c:showVal val="0"/>
          <c:showCatName val="0"/>
          <c:showSerName val="0"/>
          <c:showPercent val="0"/>
          <c:showBubbleSize val="0"/>
          <c:showLeaderLines val="0"/>
        </c:dLbls>
        <c:firstSliceAng val="0"/>
      </c:pieChart>
    </c:plotArea>
    <c:plotVisOnly val="1"/>
    <c:dispBlanksAs val="zero"/>
    <c:showDLblsOverMax val="1"/>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chemeClr val="dk1"/>
                </a:solidFill>
                <a:latin typeface="Trebuchet MS" panose="020B0703020202090204" pitchFamily="34" charset="0"/>
              </a:defRPr>
            </a:pPr>
            <a:r>
              <a:rPr lang="en-US" sz="1800" b="1" i="0">
                <a:solidFill>
                  <a:schemeClr val="dk1"/>
                </a:solidFill>
                <a:latin typeface="Trebuchet MS" panose="020B0703020202090204" pitchFamily="34" charset="0"/>
              </a:rPr>
              <a:t>Total Terminated Employee Occupational Level Profile in Q1</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95A8-8145-83C4-3AD52DDDD5A1}"/>
              </c:ext>
            </c:extLst>
          </c:dPt>
          <c:dPt>
            <c:idx val="1"/>
            <c:bubble3D val="0"/>
            <c:spPr>
              <a:solidFill>
                <a:schemeClr val="accent2"/>
              </a:solidFill>
            </c:spPr>
            <c:extLst>
              <c:ext xmlns:c16="http://schemas.microsoft.com/office/drawing/2014/chart" uri="{C3380CC4-5D6E-409C-BE32-E72D297353CC}">
                <c16:uniqueId val="{00000003-95A8-8145-83C4-3AD52DDDD5A1}"/>
              </c:ext>
            </c:extLst>
          </c:dPt>
          <c:dPt>
            <c:idx val="2"/>
            <c:bubble3D val="0"/>
            <c:spPr>
              <a:solidFill>
                <a:schemeClr val="accent3"/>
              </a:solidFill>
            </c:spPr>
            <c:extLst>
              <c:ext xmlns:c16="http://schemas.microsoft.com/office/drawing/2014/chart" uri="{C3380CC4-5D6E-409C-BE32-E72D297353CC}">
                <c16:uniqueId val="{00000005-95A8-8145-83C4-3AD52DDDD5A1}"/>
              </c:ext>
            </c:extLst>
          </c:dPt>
          <c:dPt>
            <c:idx val="3"/>
            <c:bubble3D val="0"/>
            <c:spPr>
              <a:solidFill>
                <a:schemeClr val="accent4"/>
              </a:solidFill>
            </c:spPr>
            <c:extLst>
              <c:ext xmlns:c16="http://schemas.microsoft.com/office/drawing/2014/chart" uri="{C3380CC4-5D6E-409C-BE32-E72D297353CC}">
                <c16:uniqueId val="{00000007-95A8-8145-83C4-3AD52DDDD5A1}"/>
              </c:ext>
            </c:extLst>
          </c:dPt>
          <c:dPt>
            <c:idx val="4"/>
            <c:bubble3D val="0"/>
            <c:spPr>
              <a:solidFill>
                <a:schemeClr val="accent5"/>
              </a:solidFill>
            </c:spPr>
            <c:extLst>
              <c:ext xmlns:c16="http://schemas.microsoft.com/office/drawing/2014/chart" uri="{C3380CC4-5D6E-409C-BE32-E72D297353CC}">
                <c16:uniqueId val="{00000009-95A8-8145-83C4-3AD52DDDD5A1}"/>
              </c:ext>
            </c:extLst>
          </c:dPt>
          <c:dPt>
            <c:idx val="5"/>
            <c:bubble3D val="0"/>
            <c:spPr>
              <a:solidFill>
                <a:schemeClr val="accent6"/>
              </a:solidFill>
            </c:spPr>
            <c:extLst>
              <c:ext xmlns:c16="http://schemas.microsoft.com/office/drawing/2014/chart" uri="{C3380CC4-5D6E-409C-BE32-E72D297353CC}">
                <c16:uniqueId val="{0000000B-95A8-8145-83C4-3AD52DDDD5A1}"/>
              </c:ext>
            </c:extLst>
          </c:dPt>
          <c:dLbls>
            <c:dLbl>
              <c:idx val="0"/>
              <c:layout>
                <c:manualLayout>
                  <c:x val="-5.8711865184931863E-2"/>
                  <c:y val="3.0935808197989174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5A8-8145-83C4-3AD52DDDD5A1}"/>
                </c:ext>
              </c:extLst>
            </c:dLbl>
            <c:dLbl>
              <c:idx val="1"/>
              <c:layout>
                <c:manualLayout>
                  <c:x val="-5.4662771034247118E-2"/>
                  <c:y val="-1.856148491879361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5A8-8145-83C4-3AD52DDDD5A1}"/>
                </c:ext>
              </c:extLst>
            </c:dLbl>
            <c:dLbl>
              <c:idx val="2"/>
              <c:layout>
                <c:manualLayout>
                  <c:x val="0"/>
                  <c:y val="-4.640371229698375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5A8-8145-83C4-3AD52DDDD5A1}"/>
                </c:ext>
              </c:extLst>
            </c:dLbl>
            <c:dLbl>
              <c:idx val="3"/>
              <c:layout>
                <c:manualLayout>
                  <c:x val="0.11135008914383658"/>
                  <c:y val="0"/>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5A8-8145-83C4-3AD52DDDD5A1}"/>
                </c:ext>
              </c:extLst>
            </c:dLbl>
            <c:dLbl>
              <c:idx val="4"/>
              <c:layout>
                <c:manualLayout>
                  <c:x val="4.6564582732877113E-2"/>
                  <c:y val="0"/>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95A8-8145-83C4-3AD52DDDD5A1}"/>
                </c:ext>
              </c:extLst>
            </c:dLbl>
            <c:dLbl>
              <c:idx val="5"/>
              <c:layout>
                <c:manualLayout>
                  <c:x val="4.6564582732877113E-2"/>
                  <c:y val="5.877803557617937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95A8-8145-83C4-3AD52DDDD5A1}"/>
                </c:ext>
              </c:extLst>
            </c:dLbl>
            <c:spPr>
              <a:solidFill>
                <a:srgbClr val="FFFFFF"/>
              </a:solidFill>
              <a:ln>
                <a:solidFill>
                  <a:srgbClr val="31216B">
                    <a:lumMod val="65000"/>
                    <a:lumOff val="35000"/>
                  </a:srgbClr>
                </a:solidFill>
              </a:ln>
              <a:effectLst/>
            </c:spPr>
            <c:txPr>
              <a:bodyPr wrap="square" lIns="38100" tIns="19050" rIns="38100" bIns="19050" anchor="ctr">
                <a:spAutoFit/>
              </a:bodyPr>
              <a:lstStyle/>
              <a:p>
                <a:pPr>
                  <a:defRPr b="0" i="0">
                    <a:latin typeface="Trebuchet MS" panose="020B0703020202090204" pitchFamily="34" charset="0"/>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c15:spPr>
              </c:ext>
            </c:extLst>
          </c:dLbls>
          <c:cat>
            <c:strRef>
              <c:f>Calculations!$O$401:$O$406</c:f>
              <c:strCache>
                <c:ptCount val="6"/>
                <c:pt idx="0">
                  <c:v>Employee</c:v>
                </c:pt>
                <c:pt idx="1">
                  <c:v>Junior Management</c:v>
                </c:pt>
                <c:pt idx="2">
                  <c:v>Management</c:v>
                </c:pt>
                <c:pt idx="3">
                  <c:v>Senior Management</c:v>
                </c:pt>
                <c:pt idx="4">
                  <c:v>Specialist</c:v>
                </c:pt>
                <c:pt idx="5">
                  <c:v>Executive</c:v>
                </c:pt>
              </c:strCache>
            </c:strRef>
          </c:cat>
          <c:val>
            <c:numRef>
              <c:f>Calculations!$P$401:$P$406</c:f>
              <c:numCache>
                <c:formatCode>General</c:formatCode>
                <c:ptCount val="6"/>
                <c:pt idx="0">
                  <c:v>#N/A</c:v>
                </c:pt>
                <c:pt idx="1">
                  <c:v>#N/A</c:v>
                </c:pt>
                <c:pt idx="2">
                  <c:v>#N/A</c:v>
                </c:pt>
                <c:pt idx="3">
                  <c:v>#N/A</c:v>
                </c:pt>
                <c:pt idx="4">
                  <c:v>#N/A</c:v>
                </c:pt>
                <c:pt idx="5">
                  <c:v>#N/A</c:v>
                </c:pt>
              </c:numCache>
            </c:numRef>
          </c:val>
          <c:extLst>
            <c:ext xmlns:c16="http://schemas.microsoft.com/office/drawing/2014/chart" uri="{C3380CC4-5D6E-409C-BE32-E72D297353CC}">
              <c16:uniqueId val="{0000000C-95A8-8145-83C4-3AD52DDDD5A1}"/>
            </c:ext>
          </c:extLst>
        </c:ser>
        <c:dLbls>
          <c:showLegendKey val="0"/>
          <c:showVal val="0"/>
          <c:showCatName val="0"/>
          <c:showSerName val="0"/>
          <c:showPercent val="0"/>
          <c:showBubbleSize val="0"/>
          <c:showLeaderLines val="0"/>
        </c:dLbls>
        <c:firstSliceAng val="0"/>
      </c:pieChart>
    </c:plotArea>
    <c:plotVisOnly val="1"/>
    <c:dispBlanksAs val="zero"/>
    <c:showDLblsOverMax val="1"/>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chemeClr val="dk1"/>
                </a:solidFill>
                <a:latin typeface="Trebuchet MS" panose="020B0703020202090204" pitchFamily="34" charset="0"/>
              </a:defRPr>
            </a:pPr>
            <a:r>
              <a:rPr lang="en-US" sz="1800" b="1" i="0">
                <a:solidFill>
                  <a:schemeClr val="dk1"/>
                </a:solidFill>
                <a:latin typeface="Trebuchet MS" panose="020B0703020202090204" pitchFamily="34" charset="0"/>
              </a:rPr>
              <a:t>Total New Employee Gender Profile in Q2</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5449-9845-8EF2-F63A7BB3E960}"/>
              </c:ext>
            </c:extLst>
          </c:dPt>
          <c:dPt>
            <c:idx val="1"/>
            <c:bubble3D val="0"/>
            <c:spPr>
              <a:solidFill>
                <a:schemeClr val="accent2"/>
              </a:solidFill>
            </c:spPr>
            <c:extLst>
              <c:ext xmlns:c16="http://schemas.microsoft.com/office/drawing/2014/chart" uri="{C3380CC4-5D6E-409C-BE32-E72D297353CC}">
                <c16:uniqueId val="{00000003-5449-9845-8EF2-F63A7BB3E960}"/>
              </c:ext>
            </c:extLst>
          </c:dPt>
          <c:dPt>
            <c:idx val="2"/>
            <c:bubble3D val="0"/>
            <c:spPr>
              <a:solidFill>
                <a:schemeClr val="accent3"/>
              </a:solidFill>
            </c:spPr>
            <c:extLst>
              <c:ext xmlns:c16="http://schemas.microsoft.com/office/drawing/2014/chart" uri="{C3380CC4-5D6E-409C-BE32-E72D297353CC}">
                <c16:uniqueId val="{00000005-5449-9845-8EF2-F63A7BB3E960}"/>
              </c:ext>
            </c:extLst>
          </c:dPt>
          <c:dPt>
            <c:idx val="3"/>
            <c:bubble3D val="0"/>
            <c:spPr>
              <a:solidFill>
                <a:schemeClr val="accent4"/>
              </a:solidFill>
            </c:spPr>
            <c:extLst>
              <c:ext xmlns:c16="http://schemas.microsoft.com/office/drawing/2014/chart" uri="{C3380CC4-5D6E-409C-BE32-E72D297353CC}">
                <c16:uniqueId val="{00000007-5449-9845-8EF2-F63A7BB3E960}"/>
              </c:ext>
            </c:extLst>
          </c:dPt>
          <c:dLbls>
            <c:dLbl>
              <c:idx val="0"/>
              <c:layout>
                <c:manualLayout>
                  <c:x val="-3.8267875125881166E-2"/>
                  <c:y val="4.597701149425284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449-9845-8EF2-F63A7BB3E960}"/>
                </c:ext>
              </c:extLst>
            </c:dLbl>
            <c:dLbl>
              <c:idx val="1"/>
              <c:layout>
                <c:manualLayout>
                  <c:x val="-6.2302865617738191E-3"/>
                  <c:y val="-4.793447713481604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449-9845-8EF2-F63A7BB3E960}"/>
                </c:ext>
              </c:extLst>
            </c:dLbl>
            <c:dLbl>
              <c:idx val="2"/>
              <c:layout>
                <c:manualLayout>
                  <c:x val="-3.625377643504539E-2"/>
                  <c:y val="-5.210727969348670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449-9845-8EF2-F63A7BB3E960}"/>
                </c:ext>
              </c:extLst>
            </c:dLbl>
            <c:dLbl>
              <c:idx val="3"/>
              <c:layout>
                <c:manualLayout>
                  <c:x val="3.8267875125881166E-2"/>
                  <c:y val="-1.83908045977012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449-9845-8EF2-F63A7BB3E960}"/>
                </c:ext>
              </c:extLst>
            </c:dLbl>
            <c:dLbl>
              <c:idx val="4"/>
              <c:layout>
                <c:manualLayout>
                  <c:x val="5.8408862034239603E-2"/>
                  <c:y val="7.96934865900382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F7B-FC40-AB6C-A2B46DA79748}"/>
                </c:ext>
              </c:extLst>
            </c:dLbl>
            <c:spPr>
              <a:solidFill>
                <a:srgbClr val="FFFFFF"/>
              </a:solidFill>
              <a:ln>
                <a:solidFill>
                  <a:srgbClr val="31216B">
                    <a:lumMod val="65000"/>
                    <a:lumOff val="35000"/>
                  </a:srgbClr>
                </a:solidFill>
              </a:ln>
              <a:effectLst/>
            </c:spPr>
            <c:txPr>
              <a:bodyPr wrap="square" lIns="38100" tIns="19050" rIns="38100" bIns="19050" anchor="ctr">
                <a:spAutoFit/>
              </a:bodyPr>
              <a:lstStyle/>
              <a:p>
                <a:pPr>
                  <a:defRPr b="0" i="0">
                    <a:latin typeface="Trebuchet MS" panose="020B0703020202090204" pitchFamily="34" charset="0"/>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c15:spPr>
              </c:ext>
            </c:extLst>
          </c:dLbls>
          <c:cat>
            <c:strRef>
              <c:f>Calculations!$I$432:$I$436</c:f>
              <c:strCache>
                <c:ptCount val="5"/>
                <c:pt idx="0">
                  <c:v>Female</c:v>
                </c:pt>
                <c:pt idx="1">
                  <c:v>Male</c:v>
                </c:pt>
                <c:pt idx="2">
                  <c:v>Nonbinary</c:v>
                </c:pt>
                <c:pt idx="3">
                  <c:v>Other</c:v>
                </c:pt>
                <c:pt idx="4">
                  <c:v>Prefers not to disclose</c:v>
                </c:pt>
              </c:strCache>
            </c:strRef>
          </c:cat>
          <c:val>
            <c:numRef>
              <c:f>Calculations!$J$432:$J$436</c:f>
              <c:numCache>
                <c:formatCode>General</c:formatCode>
                <c:ptCount val="5"/>
                <c:pt idx="0">
                  <c:v>#N/A</c:v>
                </c:pt>
                <c:pt idx="1">
                  <c:v>#N/A</c:v>
                </c:pt>
                <c:pt idx="2">
                  <c:v>#N/A</c:v>
                </c:pt>
                <c:pt idx="3">
                  <c:v>#N/A</c:v>
                </c:pt>
                <c:pt idx="4">
                  <c:v>#N/A</c:v>
                </c:pt>
              </c:numCache>
            </c:numRef>
          </c:val>
          <c:extLst>
            <c:ext xmlns:c16="http://schemas.microsoft.com/office/drawing/2014/chart" uri="{C3380CC4-5D6E-409C-BE32-E72D297353CC}">
              <c16:uniqueId val="{00000008-5449-9845-8EF2-F63A7BB3E960}"/>
            </c:ext>
          </c:extLst>
        </c:ser>
        <c:dLbls>
          <c:showLegendKey val="0"/>
          <c:showVal val="0"/>
          <c:showCatName val="0"/>
          <c:showSerName val="0"/>
          <c:showPercent val="0"/>
          <c:showBubbleSize val="0"/>
          <c:showLeaderLines val="0"/>
        </c:dLbls>
        <c:firstSliceAng val="0"/>
      </c:pieChart>
    </c:plotArea>
    <c:plotVisOnly val="1"/>
    <c:dispBlanksAs val="zero"/>
    <c:showDLblsOverMax val="1"/>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chemeClr val="dk1"/>
                </a:solidFill>
                <a:latin typeface="Trebuchet MS" panose="020B0703020202090204" pitchFamily="34" charset="0"/>
              </a:defRPr>
            </a:pPr>
            <a:r>
              <a:rPr lang="en-US" sz="1800" b="1" i="0">
                <a:solidFill>
                  <a:schemeClr val="dk1"/>
                </a:solidFill>
                <a:latin typeface="Trebuchet MS" panose="020B0703020202090204" pitchFamily="34" charset="0"/>
              </a:rPr>
              <a:t>Total Terminated Employee Gender Profile in Q2</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6220-DD42-A5CB-023D7D145790}"/>
              </c:ext>
            </c:extLst>
          </c:dPt>
          <c:dPt>
            <c:idx val="1"/>
            <c:bubble3D val="0"/>
            <c:spPr>
              <a:solidFill>
                <a:schemeClr val="accent2"/>
              </a:solidFill>
            </c:spPr>
            <c:extLst>
              <c:ext xmlns:c16="http://schemas.microsoft.com/office/drawing/2014/chart" uri="{C3380CC4-5D6E-409C-BE32-E72D297353CC}">
                <c16:uniqueId val="{00000003-6220-DD42-A5CB-023D7D145790}"/>
              </c:ext>
            </c:extLst>
          </c:dPt>
          <c:dPt>
            <c:idx val="2"/>
            <c:bubble3D val="0"/>
            <c:spPr>
              <a:solidFill>
                <a:schemeClr val="accent3"/>
              </a:solidFill>
            </c:spPr>
            <c:extLst>
              <c:ext xmlns:c16="http://schemas.microsoft.com/office/drawing/2014/chart" uri="{C3380CC4-5D6E-409C-BE32-E72D297353CC}">
                <c16:uniqueId val="{00000005-6220-DD42-A5CB-023D7D145790}"/>
              </c:ext>
            </c:extLst>
          </c:dPt>
          <c:dPt>
            <c:idx val="3"/>
            <c:bubble3D val="0"/>
            <c:spPr>
              <a:solidFill>
                <a:schemeClr val="accent4"/>
              </a:solidFill>
            </c:spPr>
            <c:extLst>
              <c:ext xmlns:c16="http://schemas.microsoft.com/office/drawing/2014/chart" uri="{C3380CC4-5D6E-409C-BE32-E72D297353CC}">
                <c16:uniqueId val="{00000007-6220-DD42-A5CB-023D7D145790}"/>
              </c:ext>
            </c:extLst>
          </c:dPt>
          <c:dLbls>
            <c:dLbl>
              <c:idx val="0"/>
              <c:layout>
                <c:manualLayout>
                  <c:x val="-6.1537612862442005E-2"/>
                  <c:y val="5.87780355761794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220-DD42-A5CB-023D7D145790}"/>
                </c:ext>
              </c:extLst>
            </c:dLbl>
            <c:dLbl>
              <c:idx val="1"/>
              <c:layout>
                <c:manualLayout>
                  <c:x val="-5.207028780668161E-2"/>
                  <c:y val="6.1871616395978912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220-DD42-A5CB-023D7D145790}"/>
                </c:ext>
              </c:extLst>
            </c:dLbl>
            <c:dLbl>
              <c:idx val="2"/>
              <c:layout>
                <c:manualLayout>
                  <c:x val="-6.8638106654262315E-2"/>
                  <c:y val="-5.568445475638062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220-DD42-A5CB-023D7D145790}"/>
                </c:ext>
              </c:extLst>
            </c:dLbl>
            <c:dLbl>
              <c:idx val="3"/>
              <c:layout>
                <c:manualLayout>
                  <c:x val="-2.3668312639400771E-3"/>
                  <c:y val="-4.396869959549401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220-DD42-A5CB-023D7D145790}"/>
                </c:ext>
              </c:extLst>
            </c:dLbl>
            <c:dLbl>
              <c:idx val="4"/>
              <c:layout>
                <c:manualLayout>
                  <c:x val="5.9170781598501886E-2"/>
                  <c:y val="5.259087393658159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B29A-F148-B4C2-F46CFF652B68}"/>
                </c:ext>
              </c:extLst>
            </c:dLbl>
            <c:spPr>
              <a:solidFill>
                <a:srgbClr val="FFFFFF"/>
              </a:solidFill>
              <a:ln>
                <a:solidFill>
                  <a:srgbClr val="31216B">
                    <a:lumMod val="65000"/>
                    <a:lumOff val="35000"/>
                  </a:srgbClr>
                </a:solidFill>
              </a:ln>
              <a:effectLst/>
            </c:spPr>
            <c:txPr>
              <a:bodyPr wrap="square" lIns="38100" tIns="19050" rIns="38100" bIns="19050" anchor="ctr">
                <a:spAutoFit/>
              </a:bodyPr>
              <a:lstStyle/>
              <a:p>
                <a:pPr>
                  <a:defRPr b="0" i="0">
                    <a:latin typeface="Trebuchet MS" panose="020B0703020202090204" pitchFamily="34" charset="0"/>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c15:spPr>
              </c:ext>
            </c:extLst>
          </c:dLbls>
          <c:cat>
            <c:strRef>
              <c:f>Calculations!$O$432:$O$436</c:f>
              <c:strCache>
                <c:ptCount val="5"/>
                <c:pt idx="0">
                  <c:v>Female</c:v>
                </c:pt>
                <c:pt idx="1">
                  <c:v>Male</c:v>
                </c:pt>
                <c:pt idx="2">
                  <c:v>Nonbinary</c:v>
                </c:pt>
                <c:pt idx="3">
                  <c:v>Other</c:v>
                </c:pt>
                <c:pt idx="4">
                  <c:v>Prefers not to disclose</c:v>
                </c:pt>
              </c:strCache>
            </c:strRef>
          </c:cat>
          <c:val>
            <c:numRef>
              <c:f>Calculations!$P$432:$P$436</c:f>
              <c:numCache>
                <c:formatCode>General</c:formatCode>
                <c:ptCount val="5"/>
                <c:pt idx="0">
                  <c:v>#N/A</c:v>
                </c:pt>
                <c:pt idx="1">
                  <c:v>#N/A</c:v>
                </c:pt>
                <c:pt idx="2">
                  <c:v>#N/A</c:v>
                </c:pt>
                <c:pt idx="3">
                  <c:v>#N/A</c:v>
                </c:pt>
                <c:pt idx="4">
                  <c:v>#N/A</c:v>
                </c:pt>
              </c:numCache>
            </c:numRef>
          </c:val>
          <c:extLst>
            <c:ext xmlns:c16="http://schemas.microsoft.com/office/drawing/2014/chart" uri="{C3380CC4-5D6E-409C-BE32-E72D297353CC}">
              <c16:uniqueId val="{00000008-6220-DD42-A5CB-023D7D145790}"/>
            </c:ext>
          </c:extLst>
        </c:ser>
        <c:dLbls>
          <c:showLegendKey val="0"/>
          <c:showVal val="0"/>
          <c:showCatName val="0"/>
          <c:showSerName val="0"/>
          <c:showPercent val="0"/>
          <c:showBubbleSize val="0"/>
          <c:showLeaderLines val="0"/>
        </c:dLbls>
        <c:firstSliceAng val="0"/>
      </c:pieChart>
    </c:plotArea>
    <c:plotVisOnly val="1"/>
    <c:dispBlanksAs val="zero"/>
    <c:showDLblsOverMax val="1"/>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chemeClr val="dk1"/>
                </a:solidFill>
                <a:latin typeface="Trebuchet MS" panose="020B0703020202090204" pitchFamily="34" charset="0"/>
              </a:defRPr>
            </a:pPr>
            <a:r>
              <a:rPr lang="en-US" sz="1800" b="1" i="0">
                <a:solidFill>
                  <a:schemeClr val="dk1"/>
                </a:solidFill>
                <a:latin typeface="Trebuchet MS" panose="020B0703020202090204" pitchFamily="34" charset="0"/>
              </a:rPr>
              <a:t>Total New Employee Race Profile in Q2</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42AD-4345-99F5-491D901EAB95}"/>
              </c:ext>
            </c:extLst>
          </c:dPt>
          <c:dPt>
            <c:idx val="1"/>
            <c:bubble3D val="0"/>
            <c:spPr>
              <a:solidFill>
                <a:schemeClr val="accent2"/>
              </a:solidFill>
            </c:spPr>
            <c:extLst>
              <c:ext xmlns:c16="http://schemas.microsoft.com/office/drawing/2014/chart" uri="{C3380CC4-5D6E-409C-BE32-E72D297353CC}">
                <c16:uniqueId val="{00000003-42AD-4345-99F5-491D901EAB95}"/>
              </c:ext>
            </c:extLst>
          </c:dPt>
          <c:dPt>
            <c:idx val="2"/>
            <c:bubble3D val="0"/>
            <c:spPr>
              <a:solidFill>
                <a:schemeClr val="accent3"/>
              </a:solidFill>
            </c:spPr>
            <c:extLst>
              <c:ext xmlns:c16="http://schemas.microsoft.com/office/drawing/2014/chart" uri="{C3380CC4-5D6E-409C-BE32-E72D297353CC}">
                <c16:uniqueId val="{00000005-42AD-4345-99F5-491D901EAB95}"/>
              </c:ext>
            </c:extLst>
          </c:dPt>
          <c:dPt>
            <c:idx val="3"/>
            <c:bubble3D val="0"/>
            <c:spPr>
              <a:solidFill>
                <a:schemeClr val="accent4"/>
              </a:solidFill>
            </c:spPr>
            <c:extLst>
              <c:ext xmlns:c16="http://schemas.microsoft.com/office/drawing/2014/chart" uri="{C3380CC4-5D6E-409C-BE32-E72D297353CC}">
                <c16:uniqueId val="{00000007-42AD-4345-99F5-491D901EAB95}"/>
              </c:ext>
            </c:extLst>
          </c:dPt>
          <c:dPt>
            <c:idx val="4"/>
            <c:bubble3D val="0"/>
            <c:spPr>
              <a:solidFill>
                <a:srgbClr val="FABE9F"/>
              </a:solidFill>
            </c:spPr>
            <c:extLst>
              <c:ext xmlns:c16="http://schemas.microsoft.com/office/drawing/2014/chart" uri="{C3380CC4-5D6E-409C-BE32-E72D297353CC}">
                <c16:uniqueId val="{00000009-42AD-4345-99F5-491D901EAB95}"/>
              </c:ext>
            </c:extLst>
          </c:dPt>
          <c:dPt>
            <c:idx val="5"/>
            <c:bubble3D val="0"/>
            <c:spPr>
              <a:solidFill>
                <a:srgbClr val="FFD0D4"/>
              </a:solidFill>
            </c:spPr>
            <c:extLst>
              <c:ext xmlns:c16="http://schemas.microsoft.com/office/drawing/2014/chart" uri="{C3380CC4-5D6E-409C-BE32-E72D297353CC}">
                <c16:uniqueId val="{0000000A-A512-C946-BECB-530E1506C31C}"/>
              </c:ext>
            </c:extLst>
          </c:dPt>
          <c:dLbls>
            <c:dLbl>
              <c:idx val="0"/>
              <c:layout>
                <c:manualLayout>
                  <c:x val="-4.6945564316263226E-2"/>
                  <c:y val="4.358698852397247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2AD-4345-99F5-491D901EAB95}"/>
                </c:ext>
              </c:extLst>
            </c:dLbl>
            <c:dLbl>
              <c:idx val="3"/>
              <c:layout>
                <c:manualLayout>
                  <c:x val="-5.1213342890468978E-2"/>
                  <c:y val="-4.670034484711348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2AD-4345-99F5-491D901EAB95}"/>
                </c:ext>
              </c:extLst>
            </c:dLbl>
            <c:dLbl>
              <c:idx val="4"/>
              <c:layout>
                <c:manualLayout>
                  <c:x val="6.1882789325983345E-2"/>
                  <c:y val="-9.340068969422674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42AD-4345-99F5-491D901EAB95}"/>
                </c:ext>
              </c:extLst>
            </c:dLbl>
            <c:dLbl>
              <c:idx val="5"/>
              <c:layout>
                <c:manualLayout>
                  <c:x val="8.3221682197012078E-2"/>
                  <c:y val="8.094726440166316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A512-C946-BECB-530E1506C31C}"/>
                </c:ext>
              </c:extLst>
            </c:dLbl>
            <c:spPr>
              <a:solidFill>
                <a:srgbClr val="FFFFFF"/>
              </a:solidFill>
              <a:ln>
                <a:solidFill>
                  <a:srgbClr val="31216B">
                    <a:lumMod val="65000"/>
                    <a:lumOff val="35000"/>
                  </a:srgbClr>
                </a:solidFill>
              </a:ln>
              <a:effectLst/>
            </c:spPr>
            <c:txPr>
              <a:bodyPr wrap="square" lIns="38100" tIns="19050" rIns="38100" bIns="19050" anchor="ctr">
                <a:spAutoFit/>
              </a:bodyPr>
              <a:lstStyle/>
              <a:p>
                <a:pPr>
                  <a:defRPr b="0" i="0">
                    <a:latin typeface="Trebuchet MS" panose="020B0703020202090204" pitchFamily="34" charset="0"/>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c15:spPr>
              </c:ext>
            </c:extLst>
          </c:dLbls>
          <c:cat>
            <c:strRef>
              <c:f>Calculations!$I$455:$I$460</c:f>
              <c:strCache>
                <c:ptCount val="6"/>
                <c:pt idx="0">
                  <c:v>Asian</c:v>
                </c:pt>
                <c:pt idx="1">
                  <c:v>Black</c:v>
                </c:pt>
                <c:pt idx="2">
                  <c:v>Hispanic or Latino</c:v>
                </c:pt>
                <c:pt idx="3">
                  <c:v>White</c:v>
                </c:pt>
                <c:pt idx="4">
                  <c:v>American Indian/Alaska Native</c:v>
                </c:pt>
                <c:pt idx="5">
                  <c:v>Prefers not to identify</c:v>
                </c:pt>
              </c:strCache>
            </c:strRef>
          </c:cat>
          <c:val>
            <c:numRef>
              <c:f>Calculations!$J$455:$J$460</c:f>
              <c:numCache>
                <c:formatCode>General</c:formatCode>
                <c:ptCount val="6"/>
                <c:pt idx="0">
                  <c:v>#N/A</c:v>
                </c:pt>
                <c:pt idx="1">
                  <c:v>#N/A</c:v>
                </c:pt>
                <c:pt idx="2">
                  <c:v>#N/A</c:v>
                </c:pt>
                <c:pt idx="3">
                  <c:v>#N/A</c:v>
                </c:pt>
                <c:pt idx="4">
                  <c:v>#N/A</c:v>
                </c:pt>
                <c:pt idx="5">
                  <c:v>#N/A</c:v>
                </c:pt>
              </c:numCache>
            </c:numRef>
          </c:val>
          <c:extLst>
            <c:ext xmlns:c16="http://schemas.microsoft.com/office/drawing/2014/chart" uri="{C3380CC4-5D6E-409C-BE32-E72D297353CC}">
              <c16:uniqueId val="{0000000A-42AD-4345-99F5-491D901EAB95}"/>
            </c:ext>
          </c:extLst>
        </c:ser>
        <c:dLbls>
          <c:showLegendKey val="0"/>
          <c:showVal val="0"/>
          <c:showCatName val="0"/>
          <c:showSerName val="0"/>
          <c:showPercent val="0"/>
          <c:showBubbleSize val="0"/>
          <c:showLeaderLines val="0"/>
        </c:dLbls>
        <c:firstSliceAng val="0"/>
      </c:pieChart>
    </c:plotArea>
    <c:plotVisOnly val="1"/>
    <c:dispBlanksAs val="zero"/>
    <c:showDLblsOverMax val="1"/>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chemeClr val="dk1"/>
                </a:solidFill>
                <a:latin typeface="Trebuchet MS" panose="020B0703020202090204" pitchFamily="34" charset="0"/>
              </a:defRPr>
            </a:pPr>
            <a:r>
              <a:rPr lang="en-US" sz="1800" b="1" i="0">
                <a:solidFill>
                  <a:schemeClr val="dk1"/>
                </a:solidFill>
                <a:latin typeface="Trebuchet MS" panose="020B0703020202090204" pitchFamily="34" charset="0"/>
              </a:rPr>
              <a:t>Total Terminated Employee Race Profile in Q2</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6AC6-1347-BEB6-35D64D772151}"/>
              </c:ext>
            </c:extLst>
          </c:dPt>
          <c:dPt>
            <c:idx val="1"/>
            <c:bubble3D val="0"/>
            <c:spPr>
              <a:solidFill>
                <a:schemeClr val="accent2"/>
              </a:solidFill>
            </c:spPr>
            <c:extLst>
              <c:ext xmlns:c16="http://schemas.microsoft.com/office/drawing/2014/chart" uri="{C3380CC4-5D6E-409C-BE32-E72D297353CC}">
                <c16:uniqueId val="{00000003-6AC6-1347-BEB6-35D64D772151}"/>
              </c:ext>
            </c:extLst>
          </c:dPt>
          <c:dPt>
            <c:idx val="2"/>
            <c:bubble3D val="0"/>
            <c:spPr>
              <a:solidFill>
                <a:schemeClr val="accent3"/>
              </a:solidFill>
            </c:spPr>
            <c:extLst>
              <c:ext xmlns:c16="http://schemas.microsoft.com/office/drawing/2014/chart" uri="{C3380CC4-5D6E-409C-BE32-E72D297353CC}">
                <c16:uniqueId val="{00000005-6AC6-1347-BEB6-35D64D772151}"/>
              </c:ext>
            </c:extLst>
          </c:dPt>
          <c:dPt>
            <c:idx val="3"/>
            <c:bubble3D val="0"/>
            <c:spPr>
              <a:solidFill>
                <a:schemeClr val="accent4"/>
              </a:solidFill>
            </c:spPr>
            <c:extLst>
              <c:ext xmlns:c16="http://schemas.microsoft.com/office/drawing/2014/chart" uri="{C3380CC4-5D6E-409C-BE32-E72D297353CC}">
                <c16:uniqueId val="{00000007-6AC6-1347-BEB6-35D64D772151}"/>
              </c:ext>
            </c:extLst>
          </c:dPt>
          <c:dPt>
            <c:idx val="4"/>
            <c:bubble3D val="0"/>
            <c:spPr>
              <a:solidFill>
                <a:schemeClr val="accent5"/>
              </a:solidFill>
            </c:spPr>
            <c:extLst>
              <c:ext xmlns:c16="http://schemas.microsoft.com/office/drawing/2014/chart" uri="{C3380CC4-5D6E-409C-BE32-E72D297353CC}">
                <c16:uniqueId val="{00000009-6AC6-1347-BEB6-35D64D772151}"/>
              </c:ext>
            </c:extLst>
          </c:dPt>
          <c:dPt>
            <c:idx val="5"/>
            <c:bubble3D val="0"/>
            <c:spPr>
              <a:solidFill>
                <a:srgbClr val="FFD0D4"/>
              </a:solidFill>
            </c:spPr>
            <c:extLst>
              <c:ext xmlns:c16="http://schemas.microsoft.com/office/drawing/2014/chart" uri="{C3380CC4-5D6E-409C-BE32-E72D297353CC}">
                <c16:uniqueId val="{0000000A-90A9-3141-AEE7-8DEBAD75879B}"/>
              </c:ext>
            </c:extLst>
          </c:dPt>
          <c:dLbls>
            <c:dLbl>
              <c:idx val="0"/>
              <c:layout>
                <c:manualLayout>
                  <c:x val="-4.2636987642734207E-2"/>
                  <c:y val="4.629629629629629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AC6-1347-BEB6-35D64D772151}"/>
                </c:ext>
              </c:extLst>
            </c:dLbl>
            <c:dLbl>
              <c:idx val="1"/>
              <c:layout>
                <c:manualLayout>
                  <c:x val="-4.5005709178441662E-2"/>
                  <c:y val="0"/>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AC6-1347-BEB6-35D64D772151}"/>
                </c:ext>
              </c:extLst>
            </c:dLbl>
            <c:dLbl>
              <c:idx val="2"/>
              <c:layout>
                <c:manualLayout>
                  <c:x val="-5.921803839268637E-2"/>
                  <c:y val="-4.056955174397387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AC6-1347-BEB6-35D64D772151}"/>
                </c:ext>
              </c:extLst>
            </c:dLbl>
            <c:dLbl>
              <c:idx val="3"/>
              <c:layout>
                <c:manualLayout>
                  <c:x val="4.7374430714149027E-2"/>
                  <c:y val="-2.777777777777777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AC6-1347-BEB6-35D64D772151}"/>
                </c:ext>
              </c:extLst>
            </c:dLbl>
            <c:dLbl>
              <c:idx val="4"/>
              <c:layout>
                <c:manualLayout>
                  <c:x val="-2.3687215357074513E-3"/>
                  <c:y val="-4.39905734485467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AC6-1347-BEB6-35D64D772151}"/>
                </c:ext>
              </c:extLst>
            </c:dLbl>
            <c:dLbl>
              <c:idx val="5"/>
              <c:layout>
                <c:manualLayout>
                  <c:x val="2.1318493821367062E-2"/>
                  <c:y val="5.246913580246910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90A9-3141-AEE7-8DEBAD75879B}"/>
                </c:ext>
              </c:extLst>
            </c:dLbl>
            <c:spPr>
              <a:solidFill>
                <a:srgbClr val="FFFFFF"/>
              </a:solidFill>
              <a:ln>
                <a:solidFill>
                  <a:srgbClr val="31216B">
                    <a:lumMod val="65000"/>
                    <a:lumOff val="35000"/>
                  </a:srgbClr>
                </a:solidFill>
              </a:ln>
              <a:effectLst/>
            </c:spPr>
            <c:txPr>
              <a:bodyPr wrap="square" lIns="38100" tIns="19050" rIns="38100" bIns="19050" anchor="ctr">
                <a:spAutoFit/>
              </a:bodyPr>
              <a:lstStyle/>
              <a:p>
                <a:pPr>
                  <a:defRPr b="0" i="0">
                    <a:latin typeface="Trebuchet MS" panose="020B0703020202090204" pitchFamily="34" charset="0"/>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c15:spPr>
              </c:ext>
            </c:extLst>
          </c:dLbls>
          <c:cat>
            <c:strRef>
              <c:f>Calculations!$O$455:$O$460</c:f>
              <c:strCache>
                <c:ptCount val="6"/>
                <c:pt idx="0">
                  <c:v>Asian</c:v>
                </c:pt>
                <c:pt idx="1">
                  <c:v>Black</c:v>
                </c:pt>
                <c:pt idx="2">
                  <c:v>Hispanic or Latino</c:v>
                </c:pt>
                <c:pt idx="3">
                  <c:v>White</c:v>
                </c:pt>
                <c:pt idx="4">
                  <c:v>American Indian/Alaska Native</c:v>
                </c:pt>
                <c:pt idx="5">
                  <c:v>Prefers not to identify</c:v>
                </c:pt>
              </c:strCache>
            </c:strRef>
          </c:cat>
          <c:val>
            <c:numRef>
              <c:f>Calculations!$P$455:$P$460</c:f>
              <c:numCache>
                <c:formatCode>General</c:formatCode>
                <c:ptCount val="6"/>
                <c:pt idx="0">
                  <c:v>#N/A</c:v>
                </c:pt>
                <c:pt idx="1">
                  <c:v>#N/A</c:v>
                </c:pt>
                <c:pt idx="2">
                  <c:v>#N/A</c:v>
                </c:pt>
                <c:pt idx="3">
                  <c:v>#N/A</c:v>
                </c:pt>
                <c:pt idx="4">
                  <c:v>#N/A</c:v>
                </c:pt>
                <c:pt idx="5">
                  <c:v>#N/A</c:v>
                </c:pt>
              </c:numCache>
            </c:numRef>
          </c:val>
          <c:extLst>
            <c:ext xmlns:c16="http://schemas.microsoft.com/office/drawing/2014/chart" uri="{C3380CC4-5D6E-409C-BE32-E72D297353CC}">
              <c16:uniqueId val="{0000000A-6AC6-1347-BEB6-35D64D772151}"/>
            </c:ext>
          </c:extLst>
        </c:ser>
        <c:dLbls>
          <c:showLegendKey val="0"/>
          <c:showVal val="0"/>
          <c:showCatName val="0"/>
          <c:showSerName val="0"/>
          <c:showPercent val="0"/>
          <c:showBubbleSize val="0"/>
          <c:showLeaderLines val="0"/>
        </c:dLbls>
        <c:firstSliceAng val="0"/>
      </c:pieChart>
    </c:plotArea>
    <c:plotVisOnly val="1"/>
    <c:dispBlanksAs val="zero"/>
    <c:showDLblsOverMax val="1"/>
  </c:chart>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chemeClr val="dk1"/>
                </a:solidFill>
                <a:latin typeface="Trebuchet MS" panose="020B0703020202090204" pitchFamily="34" charset="0"/>
              </a:defRPr>
            </a:pPr>
            <a:r>
              <a:rPr lang="en-US" sz="1800" b="1" i="0">
                <a:solidFill>
                  <a:schemeClr val="dk1"/>
                </a:solidFill>
                <a:latin typeface="Trebuchet MS" panose="020B0703020202090204" pitchFamily="34" charset="0"/>
              </a:rPr>
              <a:t>Total New Employee Age Group Profile in Q2</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1602-6D4C-A2EB-F9C7BD5720FA}"/>
              </c:ext>
            </c:extLst>
          </c:dPt>
          <c:dPt>
            <c:idx val="1"/>
            <c:bubble3D val="0"/>
            <c:spPr>
              <a:solidFill>
                <a:schemeClr val="accent2"/>
              </a:solidFill>
            </c:spPr>
            <c:extLst>
              <c:ext xmlns:c16="http://schemas.microsoft.com/office/drawing/2014/chart" uri="{C3380CC4-5D6E-409C-BE32-E72D297353CC}">
                <c16:uniqueId val="{00000003-1602-6D4C-A2EB-F9C7BD5720FA}"/>
              </c:ext>
            </c:extLst>
          </c:dPt>
          <c:dPt>
            <c:idx val="2"/>
            <c:bubble3D val="0"/>
            <c:spPr>
              <a:solidFill>
                <a:schemeClr val="accent3"/>
              </a:solidFill>
            </c:spPr>
            <c:extLst>
              <c:ext xmlns:c16="http://schemas.microsoft.com/office/drawing/2014/chart" uri="{C3380CC4-5D6E-409C-BE32-E72D297353CC}">
                <c16:uniqueId val="{00000005-1602-6D4C-A2EB-F9C7BD5720FA}"/>
              </c:ext>
            </c:extLst>
          </c:dPt>
          <c:dPt>
            <c:idx val="3"/>
            <c:bubble3D val="0"/>
            <c:spPr>
              <a:solidFill>
                <a:schemeClr val="accent4"/>
              </a:solidFill>
            </c:spPr>
            <c:extLst>
              <c:ext xmlns:c16="http://schemas.microsoft.com/office/drawing/2014/chart" uri="{C3380CC4-5D6E-409C-BE32-E72D297353CC}">
                <c16:uniqueId val="{00000007-1602-6D4C-A2EB-F9C7BD5720FA}"/>
              </c:ext>
            </c:extLst>
          </c:dPt>
          <c:dPt>
            <c:idx val="4"/>
            <c:bubble3D val="0"/>
            <c:spPr>
              <a:solidFill>
                <a:schemeClr val="accent5"/>
              </a:solidFill>
            </c:spPr>
            <c:extLst>
              <c:ext xmlns:c16="http://schemas.microsoft.com/office/drawing/2014/chart" uri="{C3380CC4-5D6E-409C-BE32-E72D297353CC}">
                <c16:uniqueId val="{00000009-1602-6D4C-A2EB-F9C7BD5720FA}"/>
              </c:ext>
            </c:extLst>
          </c:dPt>
          <c:dPt>
            <c:idx val="5"/>
            <c:bubble3D val="0"/>
            <c:spPr>
              <a:solidFill>
                <a:schemeClr val="accent6"/>
              </a:solidFill>
            </c:spPr>
            <c:extLst>
              <c:ext xmlns:c16="http://schemas.microsoft.com/office/drawing/2014/chart" uri="{C3380CC4-5D6E-409C-BE32-E72D297353CC}">
                <c16:uniqueId val="{0000000B-1602-6D4C-A2EB-F9C7BD5720FA}"/>
              </c:ext>
            </c:extLst>
          </c:dPt>
          <c:dPt>
            <c:idx val="6"/>
            <c:bubble3D val="0"/>
            <c:spPr>
              <a:solidFill>
                <a:schemeClr val="accent1"/>
              </a:solidFill>
            </c:spPr>
            <c:extLst>
              <c:ext xmlns:c16="http://schemas.microsoft.com/office/drawing/2014/chart" uri="{C3380CC4-5D6E-409C-BE32-E72D297353CC}">
                <c16:uniqueId val="{0000000D-1602-6D4C-A2EB-F9C7BD5720FA}"/>
              </c:ext>
            </c:extLst>
          </c:dPt>
          <c:dPt>
            <c:idx val="7"/>
            <c:bubble3D val="0"/>
            <c:spPr>
              <a:solidFill>
                <a:schemeClr val="accent2"/>
              </a:solidFill>
            </c:spPr>
            <c:extLst>
              <c:ext xmlns:c16="http://schemas.microsoft.com/office/drawing/2014/chart" uri="{C3380CC4-5D6E-409C-BE32-E72D297353CC}">
                <c16:uniqueId val="{0000000F-1602-6D4C-A2EB-F9C7BD5720FA}"/>
              </c:ext>
            </c:extLst>
          </c:dPt>
          <c:dPt>
            <c:idx val="8"/>
            <c:bubble3D val="0"/>
            <c:spPr>
              <a:solidFill>
                <a:schemeClr val="accent3"/>
              </a:solidFill>
            </c:spPr>
            <c:extLst>
              <c:ext xmlns:c16="http://schemas.microsoft.com/office/drawing/2014/chart" uri="{C3380CC4-5D6E-409C-BE32-E72D297353CC}">
                <c16:uniqueId val="{00000011-1602-6D4C-A2EB-F9C7BD5720FA}"/>
              </c:ext>
            </c:extLst>
          </c:dPt>
          <c:dLbls>
            <c:dLbl>
              <c:idx val="0"/>
              <c:layout>
                <c:manualLayout>
                  <c:x val="-3.0211480362537839E-2"/>
                  <c:y val="3.66972477064220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602-6D4C-A2EB-F9C7BD5720FA}"/>
                </c:ext>
              </c:extLst>
            </c:dLbl>
            <c:dLbl>
              <c:idx val="1"/>
              <c:layout>
                <c:manualLayout>
                  <c:x val="-3.8267875125881166E-2"/>
                  <c:y val="-5.6064591888528414E-17"/>
                </c:manualLayout>
              </c:layout>
              <c:spPr>
                <a:solidFill>
                  <a:srgbClr val="FFFFFF"/>
                </a:solidFill>
                <a:ln>
                  <a:solidFill>
                    <a:srgbClr val="31216B">
                      <a:lumMod val="65000"/>
                      <a:lumOff val="35000"/>
                    </a:srgbClr>
                  </a:solidFill>
                </a:ln>
                <a:effectLst/>
              </c:spPr>
              <c:txPr>
                <a:bodyPr wrap="square" lIns="38100" tIns="19050" rIns="38100" bIns="19050" anchor="ctr">
                  <a:spAutoFit/>
                </a:bodyPr>
                <a:lstStyle/>
                <a:p>
                  <a:pPr>
                    <a:defRPr b="0" i="0">
                      <a:latin typeface="Trebuchet MS" panose="020B0703020202090204" pitchFamily="34" charset="0"/>
                    </a:defRPr>
                  </a:pPr>
                  <a:endParaRPr lang="en-US"/>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c15:spPr>
                </c:ext>
                <c:ext xmlns:c16="http://schemas.microsoft.com/office/drawing/2014/chart" uri="{C3380CC4-5D6E-409C-BE32-E72D297353CC}">
                  <c16:uniqueId val="{00000003-1602-6D4C-A2EB-F9C7BD5720FA}"/>
                </c:ext>
              </c:extLst>
            </c:dLbl>
            <c:dLbl>
              <c:idx val="2"/>
              <c:layout>
                <c:manualLayout>
                  <c:x val="-8.0563947633434038E-3"/>
                  <c:y val="-3.66972477064220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602-6D4C-A2EB-F9C7BD5720FA}"/>
                </c:ext>
              </c:extLst>
            </c:dLbl>
            <c:dLbl>
              <c:idx val="3"/>
              <c:layout>
                <c:manualLayout>
                  <c:x val="2.4169184290030211E-2"/>
                  <c:y val="-3.363914373088684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602-6D4C-A2EB-F9C7BD5720FA}"/>
                </c:ext>
              </c:extLst>
            </c:dLbl>
            <c:dLbl>
              <c:idx val="4"/>
              <c:layout>
                <c:manualLayout>
                  <c:x val="3.0211480362537766E-2"/>
                  <c:y val="-2.446483180428134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1602-6D4C-A2EB-F9C7BD5720FA}"/>
                </c:ext>
              </c:extLst>
            </c:dLbl>
            <c:dLbl>
              <c:idx val="5"/>
              <c:layout>
                <c:manualLayout>
                  <c:x val="2.8197381671701913E-2"/>
                  <c:y val="0"/>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1602-6D4C-A2EB-F9C7BD5720FA}"/>
                </c:ext>
              </c:extLst>
            </c:dLbl>
            <c:dLbl>
              <c:idx val="6"/>
              <c:layout>
                <c:manualLayout>
                  <c:x val="-4.3476499176002638E-2"/>
                  <c:y val="2.5154052523281324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1602-6D4C-A2EB-F9C7BD5720FA}"/>
                </c:ext>
              </c:extLst>
            </c:dLbl>
            <c:dLbl>
              <c:idx val="7"/>
              <c:layout>
                <c:manualLayout>
                  <c:x val="4.0645384521491315E-2"/>
                  <c:y val="4.7209524764199274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1602-6D4C-A2EB-F9C7BD5720FA}"/>
                </c:ext>
              </c:extLst>
            </c:dLbl>
            <c:dLbl>
              <c:idx val="8"/>
              <c:layout>
                <c:manualLayout>
                  <c:x val="1.812688821752266E-2"/>
                  <c:y val="6.422018348623853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1602-6D4C-A2EB-F9C7BD5720FA}"/>
                </c:ext>
              </c:extLst>
            </c:dLbl>
            <c:spPr>
              <a:solidFill>
                <a:srgbClr val="FFFFFF"/>
              </a:solidFill>
              <a:ln>
                <a:solidFill>
                  <a:srgbClr val="31216B">
                    <a:lumMod val="65000"/>
                    <a:lumOff val="35000"/>
                  </a:srgbClr>
                </a:solidFill>
              </a:ln>
              <a:effectLst/>
            </c:sp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c15:spPr>
              </c:ext>
            </c:extLst>
          </c:dLbls>
          <c:cat>
            <c:strRef>
              <c:f>Calculations!$I$484:$I$492</c:f>
              <c:strCache>
                <c:ptCount val="9"/>
                <c:pt idx="0">
                  <c:v>18-25</c:v>
                </c:pt>
                <c:pt idx="1">
                  <c:v>26-30</c:v>
                </c:pt>
                <c:pt idx="2">
                  <c:v>31-35</c:v>
                </c:pt>
                <c:pt idx="3">
                  <c:v>36-40</c:v>
                </c:pt>
                <c:pt idx="4">
                  <c:v>41-45</c:v>
                </c:pt>
                <c:pt idx="5">
                  <c:v>46-50</c:v>
                </c:pt>
                <c:pt idx="6">
                  <c:v>51-55</c:v>
                </c:pt>
                <c:pt idx="7">
                  <c:v>56-60</c:v>
                </c:pt>
                <c:pt idx="8">
                  <c:v>61-65</c:v>
                </c:pt>
              </c:strCache>
            </c:strRef>
          </c:cat>
          <c:val>
            <c:numRef>
              <c:f>Calculations!$J$484:$J$492</c:f>
              <c:numCache>
                <c:formatCode>General</c:formatCode>
                <c:ptCount val="9"/>
                <c:pt idx="0">
                  <c:v>#N/A</c:v>
                </c:pt>
                <c:pt idx="1">
                  <c:v>#N/A</c:v>
                </c:pt>
                <c:pt idx="2">
                  <c:v>#N/A</c:v>
                </c:pt>
                <c:pt idx="3">
                  <c:v>#N/A</c:v>
                </c:pt>
                <c:pt idx="4">
                  <c:v>#N/A</c:v>
                </c:pt>
                <c:pt idx="5">
                  <c:v>#N/A</c:v>
                </c:pt>
                <c:pt idx="6">
                  <c:v>#N/A</c:v>
                </c:pt>
                <c:pt idx="7">
                  <c:v>#N/A</c:v>
                </c:pt>
                <c:pt idx="8">
                  <c:v>#N/A</c:v>
                </c:pt>
              </c:numCache>
            </c:numRef>
          </c:val>
          <c:extLst>
            <c:ext xmlns:c16="http://schemas.microsoft.com/office/drawing/2014/chart" uri="{C3380CC4-5D6E-409C-BE32-E72D297353CC}">
              <c16:uniqueId val="{00000012-1602-6D4C-A2EB-F9C7BD5720FA}"/>
            </c:ext>
          </c:extLst>
        </c:ser>
        <c:dLbls>
          <c:showLegendKey val="0"/>
          <c:showVal val="0"/>
          <c:showCatName val="0"/>
          <c:showSerName val="0"/>
          <c:showPercent val="0"/>
          <c:showBubbleSize val="0"/>
          <c:showLeaderLines val="0"/>
        </c:dLbls>
        <c:firstSliceAng val="0"/>
      </c:pieChart>
    </c:plotArea>
    <c:plotVisOnly val="1"/>
    <c:dispBlanksAs val="zero"/>
    <c:showDLblsOverMax val="1"/>
  </c:chart>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chemeClr val="dk1"/>
                </a:solidFill>
                <a:latin typeface="Trebuchet MS" panose="020B0703020202090204" pitchFamily="34" charset="0"/>
              </a:defRPr>
            </a:pPr>
            <a:r>
              <a:rPr lang="en-US" sz="1800" b="1" i="0">
                <a:solidFill>
                  <a:schemeClr val="dk1"/>
                </a:solidFill>
                <a:latin typeface="Trebuchet MS" panose="020B0703020202090204" pitchFamily="34" charset="0"/>
              </a:rPr>
              <a:t>Total Terminated Employee Age Group Profile in Q2</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D80E-8549-A5C3-DD7340855236}"/>
              </c:ext>
            </c:extLst>
          </c:dPt>
          <c:dPt>
            <c:idx val="1"/>
            <c:bubble3D val="0"/>
            <c:spPr>
              <a:solidFill>
                <a:schemeClr val="accent2"/>
              </a:solidFill>
            </c:spPr>
            <c:extLst>
              <c:ext xmlns:c16="http://schemas.microsoft.com/office/drawing/2014/chart" uri="{C3380CC4-5D6E-409C-BE32-E72D297353CC}">
                <c16:uniqueId val="{00000003-D80E-8549-A5C3-DD7340855236}"/>
              </c:ext>
            </c:extLst>
          </c:dPt>
          <c:dPt>
            <c:idx val="2"/>
            <c:bubble3D val="0"/>
            <c:spPr>
              <a:solidFill>
                <a:schemeClr val="accent3"/>
              </a:solidFill>
            </c:spPr>
            <c:extLst>
              <c:ext xmlns:c16="http://schemas.microsoft.com/office/drawing/2014/chart" uri="{C3380CC4-5D6E-409C-BE32-E72D297353CC}">
                <c16:uniqueId val="{00000005-D80E-8549-A5C3-DD7340855236}"/>
              </c:ext>
            </c:extLst>
          </c:dPt>
          <c:dPt>
            <c:idx val="3"/>
            <c:bubble3D val="0"/>
            <c:spPr>
              <a:solidFill>
                <a:schemeClr val="accent4"/>
              </a:solidFill>
            </c:spPr>
            <c:extLst>
              <c:ext xmlns:c16="http://schemas.microsoft.com/office/drawing/2014/chart" uri="{C3380CC4-5D6E-409C-BE32-E72D297353CC}">
                <c16:uniqueId val="{00000007-D80E-8549-A5C3-DD7340855236}"/>
              </c:ext>
            </c:extLst>
          </c:dPt>
          <c:dPt>
            <c:idx val="4"/>
            <c:bubble3D val="0"/>
            <c:spPr>
              <a:solidFill>
                <a:schemeClr val="accent5"/>
              </a:solidFill>
            </c:spPr>
            <c:extLst>
              <c:ext xmlns:c16="http://schemas.microsoft.com/office/drawing/2014/chart" uri="{C3380CC4-5D6E-409C-BE32-E72D297353CC}">
                <c16:uniqueId val="{00000009-D80E-8549-A5C3-DD7340855236}"/>
              </c:ext>
            </c:extLst>
          </c:dPt>
          <c:dPt>
            <c:idx val="5"/>
            <c:bubble3D val="0"/>
            <c:spPr>
              <a:solidFill>
                <a:schemeClr val="accent6"/>
              </a:solidFill>
            </c:spPr>
            <c:extLst>
              <c:ext xmlns:c16="http://schemas.microsoft.com/office/drawing/2014/chart" uri="{C3380CC4-5D6E-409C-BE32-E72D297353CC}">
                <c16:uniqueId val="{0000000B-D80E-8549-A5C3-DD7340855236}"/>
              </c:ext>
            </c:extLst>
          </c:dPt>
          <c:dPt>
            <c:idx val="6"/>
            <c:bubble3D val="0"/>
            <c:spPr>
              <a:solidFill>
                <a:schemeClr val="accent1"/>
              </a:solidFill>
            </c:spPr>
            <c:extLst>
              <c:ext xmlns:c16="http://schemas.microsoft.com/office/drawing/2014/chart" uri="{C3380CC4-5D6E-409C-BE32-E72D297353CC}">
                <c16:uniqueId val="{0000000D-D80E-8549-A5C3-DD7340855236}"/>
              </c:ext>
            </c:extLst>
          </c:dPt>
          <c:dPt>
            <c:idx val="7"/>
            <c:bubble3D val="0"/>
            <c:spPr>
              <a:solidFill>
                <a:schemeClr val="accent2"/>
              </a:solidFill>
            </c:spPr>
            <c:extLst>
              <c:ext xmlns:c16="http://schemas.microsoft.com/office/drawing/2014/chart" uri="{C3380CC4-5D6E-409C-BE32-E72D297353CC}">
                <c16:uniqueId val="{0000000F-D80E-8549-A5C3-DD7340855236}"/>
              </c:ext>
            </c:extLst>
          </c:dPt>
          <c:dPt>
            <c:idx val="8"/>
            <c:bubble3D val="0"/>
            <c:spPr>
              <a:solidFill>
                <a:schemeClr val="accent3"/>
              </a:solidFill>
            </c:spPr>
            <c:extLst>
              <c:ext xmlns:c16="http://schemas.microsoft.com/office/drawing/2014/chart" uri="{C3380CC4-5D6E-409C-BE32-E72D297353CC}">
                <c16:uniqueId val="{00000011-D80E-8549-A5C3-DD7340855236}"/>
              </c:ext>
            </c:extLst>
          </c:dPt>
          <c:dLbls>
            <c:dLbl>
              <c:idx val="0"/>
              <c:layout>
                <c:manualLayout>
                  <c:x val="-4.2577030812325015E-2"/>
                  <c:y val="4.320987654320984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80E-8549-A5C3-DD7340855236}"/>
                </c:ext>
              </c:extLst>
            </c:dLbl>
            <c:dLbl>
              <c:idx val="1"/>
              <c:layout>
                <c:manualLayout>
                  <c:x val="-2.2050362039569603E-3"/>
                  <c:y val="-4.430507808956901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80E-8549-A5C3-DD7340855236}"/>
                </c:ext>
              </c:extLst>
            </c:dLbl>
            <c:dLbl>
              <c:idx val="2"/>
              <c:layout>
                <c:manualLayout>
                  <c:x val="-4.929971988795518E-2"/>
                  <c:y val="-1.851851851851851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80E-8549-A5C3-DD7340855236}"/>
                </c:ext>
              </c:extLst>
            </c:dLbl>
            <c:dLbl>
              <c:idx val="3"/>
              <c:layout>
                <c:manualLayout>
                  <c:x val="-3.3613445378151259E-2"/>
                  <c:y val="-5.55555555555556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80E-8549-A5C3-DD7340855236}"/>
                </c:ext>
              </c:extLst>
            </c:dLbl>
            <c:dLbl>
              <c:idx val="4"/>
              <c:layout>
                <c:manualLayout>
                  <c:x val="2.6890756302520968E-2"/>
                  <c:y val="-4.629629629629641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D80E-8549-A5C3-DD7340855236}"/>
                </c:ext>
              </c:extLst>
            </c:dLbl>
            <c:dLbl>
              <c:idx val="5"/>
              <c:layout>
                <c:manualLayout>
                  <c:x val="4.2577030812324931E-2"/>
                  <c:y val="-4.320987654320999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D80E-8549-A5C3-DD7340855236}"/>
                </c:ext>
              </c:extLst>
            </c:dLbl>
            <c:dLbl>
              <c:idx val="6"/>
              <c:layout>
                <c:manualLayout>
                  <c:x val="3.1372549019607843E-2"/>
                  <c:y val="0"/>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D80E-8549-A5C3-DD7340855236}"/>
                </c:ext>
              </c:extLst>
            </c:dLbl>
            <c:dLbl>
              <c:idx val="7"/>
              <c:layout>
                <c:manualLayout>
                  <c:x val="3.3613445378151259E-2"/>
                  <c:y val="1.543209876543204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D80E-8549-A5C3-DD7340855236}"/>
                </c:ext>
              </c:extLst>
            </c:dLbl>
            <c:dLbl>
              <c:idx val="8"/>
              <c:layout>
                <c:manualLayout>
                  <c:x val="3.5854341736694634E-2"/>
                  <c:y val="3.395061728395058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D80E-8549-A5C3-DD7340855236}"/>
                </c:ext>
              </c:extLst>
            </c:dLbl>
            <c:spPr>
              <a:solidFill>
                <a:srgbClr val="FFFFFF"/>
              </a:solidFill>
              <a:ln>
                <a:solidFill>
                  <a:srgbClr val="31216B">
                    <a:lumMod val="65000"/>
                    <a:lumOff val="35000"/>
                  </a:srgbClr>
                </a:solidFill>
              </a:ln>
              <a:effectLst/>
            </c:spPr>
            <c:txPr>
              <a:bodyPr wrap="square" lIns="38100" tIns="19050" rIns="38100" bIns="19050" anchor="ctr">
                <a:spAutoFit/>
              </a:bodyPr>
              <a:lstStyle/>
              <a:p>
                <a:pPr>
                  <a:defRPr b="0" i="0">
                    <a:latin typeface="Trebuchet MS" panose="020B0703020202090204" pitchFamily="34" charset="0"/>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c15:spPr>
              </c:ext>
            </c:extLst>
          </c:dLbls>
          <c:cat>
            <c:strRef>
              <c:f>Calculations!$O$484:$O$492</c:f>
              <c:strCache>
                <c:ptCount val="9"/>
                <c:pt idx="0">
                  <c:v>18-25</c:v>
                </c:pt>
                <c:pt idx="1">
                  <c:v>26-30</c:v>
                </c:pt>
                <c:pt idx="2">
                  <c:v>31-35</c:v>
                </c:pt>
                <c:pt idx="3">
                  <c:v>36-40</c:v>
                </c:pt>
                <c:pt idx="4">
                  <c:v>41-45</c:v>
                </c:pt>
                <c:pt idx="5">
                  <c:v>46-50</c:v>
                </c:pt>
                <c:pt idx="6">
                  <c:v>51-55</c:v>
                </c:pt>
                <c:pt idx="7">
                  <c:v>56-60</c:v>
                </c:pt>
                <c:pt idx="8">
                  <c:v>61-65</c:v>
                </c:pt>
              </c:strCache>
            </c:strRef>
          </c:cat>
          <c:val>
            <c:numRef>
              <c:f>Calculations!$P$484:$P$492</c:f>
              <c:numCache>
                <c:formatCode>General</c:formatCode>
                <c:ptCount val="9"/>
                <c:pt idx="0">
                  <c:v>#N/A</c:v>
                </c:pt>
                <c:pt idx="1">
                  <c:v>#N/A</c:v>
                </c:pt>
                <c:pt idx="2">
                  <c:v>#N/A</c:v>
                </c:pt>
                <c:pt idx="3">
                  <c:v>#N/A</c:v>
                </c:pt>
                <c:pt idx="4">
                  <c:v>#N/A</c:v>
                </c:pt>
                <c:pt idx="5">
                  <c:v>#N/A</c:v>
                </c:pt>
                <c:pt idx="6">
                  <c:v>#N/A</c:v>
                </c:pt>
                <c:pt idx="7">
                  <c:v>#N/A</c:v>
                </c:pt>
                <c:pt idx="8">
                  <c:v>#N/A</c:v>
                </c:pt>
              </c:numCache>
            </c:numRef>
          </c:val>
          <c:extLst>
            <c:ext xmlns:c16="http://schemas.microsoft.com/office/drawing/2014/chart" uri="{C3380CC4-5D6E-409C-BE32-E72D297353CC}">
              <c16:uniqueId val="{00000012-D80E-8549-A5C3-DD7340855236}"/>
            </c:ext>
          </c:extLst>
        </c:ser>
        <c:dLbls>
          <c:showLegendKey val="0"/>
          <c:showVal val="0"/>
          <c:showCatName val="0"/>
          <c:showSerName val="0"/>
          <c:showPercent val="0"/>
          <c:showBubbleSize val="0"/>
          <c:showLeaderLines val="0"/>
        </c:dLbls>
        <c:firstSliceAng val="0"/>
      </c:pieChart>
    </c:plotArea>
    <c:plotVisOnly val="1"/>
    <c:dispBlanksAs val="zero"/>
    <c:showDLblsOverMax val="1"/>
  </c:chart>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chemeClr val="dk1"/>
                </a:solidFill>
                <a:latin typeface="Trebuchet MS" panose="020B0703020202090204" pitchFamily="34" charset="0"/>
              </a:defRPr>
            </a:pPr>
            <a:r>
              <a:rPr lang="en-US" sz="1800" b="1" i="0">
                <a:solidFill>
                  <a:schemeClr val="dk1"/>
                </a:solidFill>
                <a:latin typeface="Trebuchet MS" panose="020B0703020202090204" pitchFamily="34" charset="0"/>
              </a:rPr>
              <a:t>New Employee per Position in Q2</a:t>
            </a:r>
          </a:p>
        </c:rich>
      </c:tx>
      <c:overlay val="0"/>
    </c:title>
    <c:autoTitleDeleted val="0"/>
    <c:plotArea>
      <c:layout/>
      <c:barChart>
        <c:barDir val="col"/>
        <c:grouping val="clustered"/>
        <c:varyColors val="1"/>
        <c:ser>
          <c:idx val="0"/>
          <c:order val="0"/>
          <c:spPr>
            <a:solidFill>
              <a:srgbClr val="B0E7FF"/>
            </a:solidFill>
            <a:ln cmpd="sng">
              <a:noFill/>
            </a:ln>
          </c:spPr>
          <c:invertIfNegative val="1"/>
          <c:dLbls>
            <c:spPr>
              <a:noFill/>
              <a:ln>
                <a:noFill/>
              </a:ln>
              <a:effectLst/>
            </c:spPr>
            <c:txPr>
              <a:bodyPr/>
              <a:lstStyle/>
              <a:p>
                <a:pPr lvl="0">
                  <a:defRPr sz="800" b="0" i="0">
                    <a:solidFill>
                      <a:srgbClr val="31216B"/>
                    </a:solidFill>
                    <a:latin typeface="Trebuchet MS" panose="020B070302020209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Calculations!$G$191:$G$240</c:f>
              <c:strCache>
                <c:ptCount val="50"/>
                <c:pt idx="0">
                  <c:v>Position 1</c:v>
                </c:pt>
                <c:pt idx="1">
                  <c:v>Position 2</c:v>
                </c:pt>
                <c:pt idx="2">
                  <c:v>Position 3</c:v>
                </c:pt>
                <c:pt idx="3">
                  <c:v>Position 4</c:v>
                </c:pt>
                <c:pt idx="4">
                  <c:v>Position 5</c:v>
                </c:pt>
                <c:pt idx="5">
                  <c:v>Position 6</c:v>
                </c:pt>
                <c:pt idx="6">
                  <c:v>Position 7</c:v>
                </c:pt>
                <c:pt idx="7">
                  <c:v>Position 8</c:v>
                </c:pt>
                <c:pt idx="8">
                  <c:v>Position 9</c:v>
                </c:pt>
                <c:pt idx="9">
                  <c:v>Position 10</c:v>
                </c:pt>
                <c:pt idx="10">
                  <c:v>Position 11</c:v>
                </c:pt>
                <c:pt idx="11">
                  <c:v>Position 12</c:v>
                </c:pt>
                <c:pt idx="12">
                  <c:v>Position 13</c:v>
                </c:pt>
                <c:pt idx="13">
                  <c:v>Position 14</c:v>
                </c:pt>
                <c:pt idx="14">
                  <c:v>Position 15</c:v>
                </c:pt>
                <c:pt idx="15">
                  <c:v>Position 16</c:v>
                </c:pt>
                <c:pt idx="16">
                  <c:v>Position 17</c:v>
                </c:pt>
                <c:pt idx="17">
                  <c:v>Position 18</c:v>
                </c:pt>
                <c:pt idx="18">
                  <c:v>Position 19</c:v>
                </c:pt>
                <c:pt idx="19">
                  <c:v>Position 20</c:v>
                </c:pt>
                <c:pt idx="20">
                  <c:v>Position 21</c:v>
                </c:pt>
                <c:pt idx="21">
                  <c:v>Position 22</c:v>
                </c:pt>
                <c:pt idx="22">
                  <c:v>Position 23</c:v>
                </c:pt>
                <c:pt idx="23">
                  <c:v>Position 24</c:v>
                </c:pt>
                <c:pt idx="24">
                  <c:v>Position 25</c:v>
                </c:pt>
                <c:pt idx="25">
                  <c:v>Position 26</c:v>
                </c:pt>
                <c:pt idx="26">
                  <c:v>Position 27</c:v>
                </c:pt>
                <c:pt idx="27">
                  <c:v>Position 28</c:v>
                </c:pt>
                <c:pt idx="28">
                  <c:v>Position 29</c:v>
                </c:pt>
                <c:pt idx="29">
                  <c:v>Position 30</c:v>
                </c:pt>
                <c:pt idx="30">
                  <c:v>Position 31</c:v>
                </c:pt>
                <c:pt idx="31">
                  <c:v>Position 32</c:v>
                </c:pt>
                <c:pt idx="32">
                  <c:v>Position 33</c:v>
                </c:pt>
                <c:pt idx="33">
                  <c:v>Position 34</c:v>
                </c:pt>
                <c:pt idx="34">
                  <c:v>Position 35</c:v>
                </c:pt>
                <c:pt idx="35">
                  <c:v>Position 36</c:v>
                </c:pt>
                <c:pt idx="36">
                  <c:v>Position 37</c:v>
                </c:pt>
                <c:pt idx="37">
                  <c:v>Position 38</c:v>
                </c:pt>
                <c:pt idx="38">
                  <c:v>Position 39</c:v>
                </c:pt>
                <c:pt idx="39">
                  <c:v>Position 40</c:v>
                </c:pt>
                <c:pt idx="40">
                  <c:v>Position 41</c:v>
                </c:pt>
                <c:pt idx="41">
                  <c:v>Position 42</c:v>
                </c:pt>
                <c:pt idx="42">
                  <c:v>Position 43</c:v>
                </c:pt>
                <c:pt idx="43">
                  <c:v>Position 44</c:v>
                </c:pt>
                <c:pt idx="44">
                  <c:v>Position 45</c:v>
                </c:pt>
                <c:pt idx="45">
                  <c:v>Position 46</c:v>
                </c:pt>
                <c:pt idx="46">
                  <c:v>Position 47</c:v>
                </c:pt>
                <c:pt idx="47">
                  <c:v>Position 48</c:v>
                </c:pt>
                <c:pt idx="48">
                  <c:v>Position 49</c:v>
                </c:pt>
                <c:pt idx="49">
                  <c:v>Position 50</c:v>
                </c:pt>
              </c:strCache>
            </c:strRef>
          </c:cat>
          <c:val>
            <c:numRef>
              <c:f>Calculations!$H$191:$H$240</c:f>
              <c:numCache>
                <c:formatCode>General</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0-DE5A-6346-963F-D063573DF76C}"/>
            </c:ext>
          </c:extLst>
        </c:ser>
        <c:dLbls>
          <c:showLegendKey val="0"/>
          <c:showVal val="0"/>
          <c:showCatName val="0"/>
          <c:showSerName val="0"/>
          <c:showPercent val="0"/>
          <c:showBubbleSize val="0"/>
        </c:dLbls>
        <c:gapWidth val="150"/>
        <c:axId val="1424726107"/>
        <c:axId val="101470114"/>
      </c:barChart>
      <c:catAx>
        <c:axId val="1424726107"/>
        <c:scaling>
          <c:orientation val="minMax"/>
        </c:scaling>
        <c:delete val="0"/>
        <c:axPos val="b"/>
        <c:title>
          <c:tx>
            <c:rich>
              <a:bodyPr/>
              <a:lstStyle/>
              <a:p>
                <a:pPr lvl="0">
                  <a:defRPr b="0">
                    <a:solidFill>
                      <a:srgbClr val="31216B"/>
                    </a:solidFill>
                    <a:latin typeface="+mn-lt"/>
                  </a:defRPr>
                </a:pPr>
                <a:endParaRPr lang="en-NL"/>
              </a:p>
            </c:rich>
          </c:tx>
          <c:overlay val="0"/>
        </c:title>
        <c:numFmt formatCode="General" sourceLinked="1"/>
        <c:majorTickMark val="none"/>
        <c:minorTickMark val="none"/>
        <c:tickLblPos val="nextTo"/>
        <c:txPr>
          <a:bodyPr/>
          <a:lstStyle/>
          <a:p>
            <a:pPr lvl="0">
              <a:defRPr sz="1200" b="0" i="0">
                <a:solidFill>
                  <a:schemeClr val="dk1"/>
                </a:solidFill>
                <a:latin typeface="Trebuchet MS" panose="020B0703020202090204" pitchFamily="34" charset="0"/>
              </a:defRPr>
            </a:pPr>
            <a:endParaRPr lang="en-US"/>
          </a:p>
        </c:txPr>
        <c:crossAx val="101470114"/>
        <c:crosses val="autoZero"/>
        <c:auto val="1"/>
        <c:lblAlgn val="ctr"/>
        <c:lblOffset val="100"/>
        <c:noMultiLvlLbl val="1"/>
      </c:catAx>
      <c:valAx>
        <c:axId val="101470114"/>
        <c:scaling>
          <c:orientation val="minMax"/>
        </c:scaling>
        <c:delete val="1"/>
        <c:axPos val="l"/>
        <c:title>
          <c:tx>
            <c:rich>
              <a:bodyPr/>
              <a:lstStyle/>
              <a:p>
                <a:pPr lvl="0">
                  <a:defRPr b="0">
                    <a:solidFill>
                      <a:srgbClr val="31216B"/>
                    </a:solidFill>
                    <a:latin typeface="+mn-lt"/>
                  </a:defRPr>
                </a:pPr>
                <a:endParaRPr lang="en-NL"/>
              </a:p>
            </c:rich>
          </c:tx>
          <c:overlay val="0"/>
        </c:title>
        <c:numFmt formatCode="General" sourceLinked="1"/>
        <c:majorTickMark val="none"/>
        <c:minorTickMark val="none"/>
        <c:tickLblPos val="nextTo"/>
        <c:crossAx val="1424726107"/>
        <c:crosses val="autoZero"/>
        <c:crossBetween val="between"/>
      </c:valAx>
    </c:plotArea>
    <c:plotVisOnly val="1"/>
    <c:dispBlanksAs val="zero"/>
    <c:showDLblsOverMax val="1"/>
  </c:chart>
  <c:spPr>
    <a:solidFill>
      <a:schemeClr val="lt1"/>
    </a:solidFill>
  </c:sp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chemeClr val="dk1"/>
                </a:solidFill>
                <a:latin typeface="Trebuchet MS" panose="020B0703020202090204" pitchFamily="34" charset="0"/>
              </a:defRPr>
            </a:pPr>
            <a:r>
              <a:rPr lang="en-US" sz="1800" b="1" i="0">
                <a:solidFill>
                  <a:schemeClr val="dk1"/>
                </a:solidFill>
                <a:latin typeface="Trebuchet MS" panose="020B0703020202090204" pitchFamily="34" charset="0"/>
              </a:rPr>
              <a:t>Terminated Employee per Position in Q2</a:t>
            </a:r>
          </a:p>
        </c:rich>
      </c:tx>
      <c:overlay val="0"/>
    </c:title>
    <c:autoTitleDeleted val="0"/>
    <c:plotArea>
      <c:layout/>
      <c:barChart>
        <c:barDir val="col"/>
        <c:grouping val="clustered"/>
        <c:varyColors val="1"/>
        <c:ser>
          <c:idx val="0"/>
          <c:order val="0"/>
          <c:spPr>
            <a:solidFill>
              <a:srgbClr val="B0E7FF"/>
            </a:solidFill>
            <a:ln cmpd="sng">
              <a:noFill/>
            </a:ln>
          </c:spPr>
          <c:invertIfNegative val="1"/>
          <c:dLbls>
            <c:spPr>
              <a:noFill/>
              <a:ln>
                <a:noFill/>
              </a:ln>
              <a:effectLst/>
            </c:spPr>
            <c:txPr>
              <a:bodyPr/>
              <a:lstStyle/>
              <a:p>
                <a:pPr lvl="0">
                  <a:defRPr sz="800" b="0" i="0">
                    <a:solidFill>
                      <a:srgbClr val="31216B"/>
                    </a:solidFill>
                    <a:latin typeface="Trebuchet MS" panose="020B070302020209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Calculations!$M$191:$M$240</c:f>
              <c:strCache>
                <c:ptCount val="50"/>
                <c:pt idx="0">
                  <c:v>Position 1</c:v>
                </c:pt>
                <c:pt idx="1">
                  <c:v>Position 2</c:v>
                </c:pt>
                <c:pt idx="2">
                  <c:v>Position 3</c:v>
                </c:pt>
                <c:pt idx="3">
                  <c:v>Position 4</c:v>
                </c:pt>
                <c:pt idx="4">
                  <c:v>Position 5</c:v>
                </c:pt>
                <c:pt idx="5">
                  <c:v>Position 6</c:v>
                </c:pt>
                <c:pt idx="6">
                  <c:v>Position 7</c:v>
                </c:pt>
                <c:pt idx="7">
                  <c:v>Position 8</c:v>
                </c:pt>
                <c:pt idx="8">
                  <c:v>Position 9</c:v>
                </c:pt>
                <c:pt idx="9">
                  <c:v>Position 10</c:v>
                </c:pt>
                <c:pt idx="10">
                  <c:v>Position 11</c:v>
                </c:pt>
                <c:pt idx="11">
                  <c:v>Position 12</c:v>
                </c:pt>
                <c:pt idx="12">
                  <c:v>Position 13</c:v>
                </c:pt>
                <c:pt idx="13">
                  <c:v>Position 14</c:v>
                </c:pt>
                <c:pt idx="14">
                  <c:v>Position 15</c:v>
                </c:pt>
                <c:pt idx="15">
                  <c:v>Position 16</c:v>
                </c:pt>
                <c:pt idx="16">
                  <c:v>Position 17</c:v>
                </c:pt>
                <c:pt idx="17">
                  <c:v>Position 18</c:v>
                </c:pt>
                <c:pt idx="18">
                  <c:v>Position 19</c:v>
                </c:pt>
                <c:pt idx="19">
                  <c:v>Position 20</c:v>
                </c:pt>
                <c:pt idx="20">
                  <c:v>Position 21</c:v>
                </c:pt>
                <c:pt idx="21">
                  <c:v>Position 22</c:v>
                </c:pt>
                <c:pt idx="22">
                  <c:v>Position 23</c:v>
                </c:pt>
                <c:pt idx="23">
                  <c:v>Position 24</c:v>
                </c:pt>
                <c:pt idx="24">
                  <c:v>Position 25</c:v>
                </c:pt>
                <c:pt idx="25">
                  <c:v>Position 26</c:v>
                </c:pt>
                <c:pt idx="26">
                  <c:v>Position 27</c:v>
                </c:pt>
                <c:pt idx="27">
                  <c:v>Position 28</c:v>
                </c:pt>
                <c:pt idx="28">
                  <c:v>Position 29</c:v>
                </c:pt>
                <c:pt idx="29">
                  <c:v>Position 30</c:v>
                </c:pt>
                <c:pt idx="30">
                  <c:v>Position 31</c:v>
                </c:pt>
                <c:pt idx="31">
                  <c:v>Position 32</c:v>
                </c:pt>
                <c:pt idx="32">
                  <c:v>Position 33</c:v>
                </c:pt>
                <c:pt idx="33">
                  <c:v>Position 34</c:v>
                </c:pt>
                <c:pt idx="34">
                  <c:v>Position 35</c:v>
                </c:pt>
                <c:pt idx="35">
                  <c:v>Position 36</c:v>
                </c:pt>
                <c:pt idx="36">
                  <c:v>Position 37</c:v>
                </c:pt>
                <c:pt idx="37">
                  <c:v>Position 38</c:v>
                </c:pt>
                <c:pt idx="38">
                  <c:v>Position 39</c:v>
                </c:pt>
                <c:pt idx="39">
                  <c:v>Position 40</c:v>
                </c:pt>
                <c:pt idx="40">
                  <c:v>Position 41</c:v>
                </c:pt>
                <c:pt idx="41">
                  <c:v>Position 42</c:v>
                </c:pt>
                <c:pt idx="42">
                  <c:v>Position 43</c:v>
                </c:pt>
                <c:pt idx="43">
                  <c:v>Position 44</c:v>
                </c:pt>
                <c:pt idx="44">
                  <c:v>Position 45</c:v>
                </c:pt>
                <c:pt idx="45">
                  <c:v>Position 46</c:v>
                </c:pt>
                <c:pt idx="46">
                  <c:v>Position 47</c:v>
                </c:pt>
                <c:pt idx="47">
                  <c:v>Position 48</c:v>
                </c:pt>
                <c:pt idx="48">
                  <c:v>Position 49</c:v>
                </c:pt>
                <c:pt idx="49">
                  <c:v>Position 50</c:v>
                </c:pt>
              </c:strCache>
            </c:strRef>
          </c:cat>
          <c:val>
            <c:numRef>
              <c:f>Calculations!$N$191:$N$240</c:f>
              <c:numCache>
                <c:formatCode>General</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0-F5EC-5948-8A0D-C64035482290}"/>
            </c:ext>
          </c:extLst>
        </c:ser>
        <c:dLbls>
          <c:showLegendKey val="0"/>
          <c:showVal val="0"/>
          <c:showCatName val="0"/>
          <c:showSerName val="0"/>
          <c:showPercent val="0"/>
          <c:showBubbleSize val="0"/>
        </c:dLbls>
        <c:gapWidth val="150"/>
        <c:axId val="2080520286"/>
        <c:axId val="672412161"/>
      </c:barChart>
      <c:catAx>
        <c:axId val="2080520286"/>
        <c:scaling>
          <c:orientation val="minMax"/>
        </c:scaling>
        <c:delete val="0"/>
        <c:axPos val="b"/>
        <c:title>
          <c:tx>
            <c:rich>
              <a:bodyPr/>
              <a:lstStyle/>
              <a:p>
                <a:pPr lvl="0">
                  <a:defRPr b="0">
                    <a:solidFill>
                      <a:srgbClr val="31216B"/>
                    </a:solidFill>
                    <a:latin typeface="+mn-lt"/>
                  </a:defRPr>
                </a:pPr>
                <a:endParaRPr lang="en-NL"/>
              </a:p>
            </c:rich>
          </c:tx>
          <c:overlay val="0"/>
        </c:title>
        <c:numFmt formatCode="General" sourceLinked="1"/>
        <c:majorTickMark val="none"/>
        <c:minorTickMark val="none"/>
        <c:tickLblPos val="nextTo"/>
        <c:txPr>
          <a:bodyPr/>
          <a:lstStyle/>
          <a:p>
            <a:pPr lvl="0">
              <a:defRPr sz="1200" b="0" i="0">
                <a:solidFill>
                  <a:schemeClr val="dk1"/>
                </a:solidFill>
                <a:latin typeface="Trebuchet MS" panose="020B0703020202090204" pitchFamily="34" charset="0"/>
              </a:defRPr>
            </a:pPr>
            <a:endParaRPr lang="en-US"/>
          </a:p>
        </c:txPr>
        <c:crossAx val="672412161"/>
        <c:crosses val="autoZero"/>
        <c:auto val="1"/>
        <c:lblAlgn val="ctr"/>
        <c:lblOffset val="100"/>
        <c:noMultiLvlLbl val="1"/>
      </c:catAx>
      <c:valAx>
        <c:axId val="672412161"/>
        <c:scaling>
          <c:orientation val="minMax"/>
        </c:scaling>
        <c:delete val="1"/>
        <c:axPos val="l"/>
        <c:title>
          <c:tx>
            <c:rich>
              <a:bodyPr/>
              <a:lstStyle/>
              <a:p>
                <a:pPr lvl="0">
                  <a:defRPr b="0">
                    <a:solidFill>
                      <a:srgbClr val="31216B"/>
                    </a:solidFill>
                    <a:latin typeface="+mn-lt"/>
                  </a:defRPr>
                </a:pPr>
                <a:endParaRPr lang="en-NL"/>
              </a:p>
            </c:rich>
          </c:tx>
          <c:overlay val="0"/>
        </c:title>
        <c:numFmt formatCode="General" sourceLinked="1"/>
        <c:majorTickMark val="none"/>
        <c:minorTickMark val="none"/>
        <c:tickLblPos val="nextTo"/>
        <c:crossAx val="2080520286"/>
        <c:crosses val="autoZero"/>
        <c:crossBetween val="between"/>
      </c:valAx>
    </c:plotArea>
    <c:plotVisOnly val="1"/>
    <c:dispBlanksAs val="zero"/>
    <c:showDLblsOverMax val="1"/>
  </c:chart>
  <c:spPr>
    <a:solidFill>
      <a:schemeClr val="lt1"/>
    </a:solidFill>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chemeClr val="dk1"/>
                </a:solidFill>
                <a:latin typeface="Trebuchet MS" panose="020B0703020202090204" pitchFamily="34" charset="0"/>
              </a:defRPr>
            </a:pPr>
            <a:r>
              <a:rPr lang="en-US" sz="1800" b="1" i="0">
                <a:solidFill>
                  <a:schemeClr val="dk1"/>
                </a:solidFill>
                <a:latin typeface="Trebuchet MS" panose="020B0703020202090204" pitchFamily="34" charset="0"/>
              </a:rPr>
              <a:t>Total Age Group Profile</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143F-D544-B8E9-9F889C551588}"/>
              </c:ext>
            </c:extLst>
          </c:dPt>
          <c:dPt>
            <c:idx val="1"/>
            <c:bubble3D val="0"/>
            <c:spPr>
              <a:solidFill>
                <a:schemeClr val="accent2"/>
              </a:solidFill>
            </c:spPr>
            <c:extLst>
              <c:ext xmlns:c16="http://schemas.microsoft.com/office/drawing/2014/chart" uri="{C3380CC4-5D6E-409C-BE32-E72D297353CC}">
                <c16:uniqueId val="{00000003-143F-D544-B8E9-9F889C551588}"/>
              </c:ext>
            </c:extLst>
          </c:dPt>
          <c:dPt>
            <c:idx val="2"/>
            <c:bubble3D val="0"/>
            <c:spPr>
              <a:solidFill>
                <a:schemeClr val="accent3"/>
              </a:solidFill>
            </c:spPr>
            <c:extLst>
              <c:ext xmlns:c16="http://schemas.microsoft.com/office/drawing/2014/chart" uri="{C3380CC4-5D6E-409C-BE32-E72D297353CC}">
                <c16:uniqueId val="{00000005-143F-D544-B8E9-9F889C551588}"/>
              </c:ext>
            </c:extLst>
          </c:dPt>
          <c:dPt>
            <c:idx val="3"/>
            <c:bubble3D val="0"/>
            <c:spPr>
              <a:solidFill>
                <a:schemeClr val="accent4"/>
              </a:solidFill>
            </c:spPr>
            <c:extLst>
              <c:ext xmlns:c16="http://schemas.microsoft.com/office/drawing/2014/chart" uri="{C3380CC4-5D6E-409C-BE32-E72D297353CC}">
                <c16:uniqueId val="{00000007-143F-D544-B8E9-9F889C551588}"/>
              </c:ext>
            </c:extLst>
          </c:dPt>
          <c:dPt>
            <c:idx val="4"/>
            <c:bubble3D val="0"/>
            <c:spPr>
              <a:solidFill>
                <a:schemeClr val="accent5"/>
              </a:solidFill>
            </c:spPr>
            <c:extLst>
              <c:ext xmlns:c16="http://schemas.microsoft.com/office/drawing/2014/chart" uri="{C3380CC4-5D6E-409C-BE32-E72D297353CC}">
                <c16:uniqueId val="{00000009-143F-D544-B8E9-9F889C551588}"/>
              </c:ext>
            </c:extLst>
          </c:dPt>
          <c:dPt>
            <c:idx val="5"/>
            <c:bubble3D val="0"/>
            <c:spPr>
              <a:solidFill>
                <a:srgbClr val="FFD0D4"/>
              </a:solidFill>
            </c:spPr>
            <c:extLst>
              <c:ext xmlns:c16="http://schemas.microsoft.com/office/drawing/2014/chart" uri="{C3380CC4-5D6E-409C-BE32-E72D297353CC}">
                <c16:uniqueId val="{0000000B-143F-D544-B8E9-9F889C551588}"/>
              </c:ext>
            </c:extLst>
          </c:dPt>
          <c:dPt>
            <c:idx val="6"/>
            <c:bubble3D val="0"/>
            <c:spPr>
              <a:solidFill>
                <a:srgbClr val="67DAFF"/>
              </a:solidFill>
            </c:spPr>
            <c:extLst>
              <c:ext xmlns:c16="http://schemas.microsoft.com/office/drawing/2014/chart" uri="{C3380CC4-5D6E-409C-BE32-E72D297353CC}">
                <c16:uniqueId val="{0000000D-143F-D544-B8E9-9F889C551588}"/>
              </c:ext>
            </c:extLst>
          </c:dPt>
          <c:dPt>
            <c:idx val="7"/>
            <c:bubble3D val="0"/>
            <c:spPr>
              <a:solidFill>
                <a:srgbClr val="1EBBF0"/>
              </a:solidFill>
            </c:spPr>
            <c:extLst>
              <c:ext xmlns:c16="http://schemas.microsoft.com/office/drawing/2014/chart" uri="{C3380CC4-5D6E-409C-BE32-E72D297353CC}">
                <c16:uniqueId val="{0000000F-143F-D544-B8E9-9F889C551588}"/>
              </c:ext>
            </c:extLst>
          </c:dPt>
          <c:dPt>
            <c:idx val="8"/>
            <c:bubble3D val="0"/>
            <c:spPr>
              <a:solidFill>
                <a:schemeClr val="accent3"/>
              </a:solidFill>
            </c:spPr>
            <c:extLst>
              <c:ext xmlns:c16="http://schemas.microsoft.com/office/drawing/2014/chart" uri="{C3380CC4-5D6E-409C-BE32-E72D297353CC}">
                <c16:uniqueId val="{00000011-143F-D544-B8E9-9F889C551588}"/>
              </c:ext>
            </c:extLst>
          </c:dPt>
          <c:dLbls>
            <c:dLbl>
              <c:idx val="0"/>
              <c:layout>
                <c:manualLayout>
                  <c:x val="-3.3578447184539825E-2"/>
                  <c:y val="2.512440205901395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43F-D544-B8E9-9F889C551588}"/>
                </c:ext>
              </c:extLst>
            </c:dLbl>
            <c:dLbl>
              <c:idx val="1"/>
              <c:layout>
                <c:manualLayout>
                  <c:x val="-5.1486952349627767E-2"/>
                  <c:y val="-3.3499202745351985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43F-D544-B8E9-9F889C551588}"/>
                </c:ext>
              </c:extLst>
            </c:dLbl>
            <c:dLbl>
              <c:idx val="2"/>
              <c:layout>
                <c:manualLayout>
                  <c:x val="-8.5873028895426147E-3"/>
                  <c:y val="-4.029239353532584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43F-D544-B8E9-9F889C551588}"/>
                </c:ext>
              </c:extLst>
            </c:dLbl>
            <c:dLbl>
              <c:idx val="3"/>
              <c:layout>
                <c:manualLayout>
                  <c:x val="3.805557347581167E-2"/>
                  <c:y val="-3.852408315715490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43F-D544-B8E9-9F889C551588}"/>
                </c:ext>
              </c:extLst>
            </c:dLbl>
            <c:dLbl>
              <c:idx val="4"/>
              <c:layout>
                <c:manualLayout>
                  <c:x val="5.1486952349627607E-2"/>
                  <c:y val="-2.177448178447878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143F-D544-B8E9-9F889C551588}"/>
                </c:ext>
              </c:extLst>
            </c:dLbl>
            <c:dLbl>
              <c:idx val="5"/>
              <c:layout>
                <c:manualLayout>
                  <c:x val="3.3578447184539742E-2"/>
                  <c:y val="0"/>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143F-D544-B8E9-9F889C551588}"/>
                </c:ext>
              </c:extLst>
            </c:dLbl>
            <c:dLbl>
              <c:idx val="6"/>
              <c:layout>
                <c:manualLayout>
                  <c:x val="3.5817010330175703E-2"/>
                  <c:y val="2.177448178447878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143F-D544-B8E9-9F889C551588}"/>
                </c:ext>
              </c:extLst>
            </c:dLbl>
            <c:dLbl>
              <c:idx val="7"/>
              <c:layout>
                <c:manualLayout>
                  <c:x val="3.5817010330175723E-2"/>
                  <c:y val="2.847432233354912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143F-D544-B8E9-9F889C551588}"/>
                </c:ext>
              </c:extLst>
            </c:dLbl>
            <c:dLbl>
              <c:idx val="8"/>
              <c:layout>
                <c:manualLayout>
                  <c:x val="2.2385631456359828E-2"/>
                  <c:y val="3.349920274535198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143F-D544-B8E9-9F889C551588}"/>
                </c:ext>
              </c:extLst>
            </c:dLbl>
            <c:spPr>
              <a:solidFill>
                <a:srgbClr val="FFFFFF"/>
              </a:solidFill>
              <a:ln>
                <a:solidFill>
                  <a:srgbClr val="31216B">
                    <a:lumMod val="65000"/>
                    <a:lumOff val="35000"/>
                  </a:srgbClr>
                </a:solidFill>
              </a:ln>
              <a:effectLst/>
            </c:spPr>
            <c:txPr>
              <a:bodyPr wrap="square" lIns="38100" tIns="19050" rIns="38100" bIns="19050" anchor="ctr">
                <a:spAutoFit/>
              </a:bodyPr>
              <a:lstStyle/>
              <a:p>
                <a:pPr>
                  <a:defRPr b="0" i="0">
                    <a:latin typeface="Trebuchet MS" panose="020B0703020202090204" pitchFamily="34" charset="0"/>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c15:spPr>
              </c:ext>
            </c:extLst>
          </c:dLbls>
          <c:cat>
            <c:strRef>
              <c:f>Calculations!$H$17:$H$25</c:f>
              <c:strCache>
                <c:ptCount val="9"/>
                <c:pt idx="0">
                  <c:v>18-25</c:v>
                </c:pt>
                <c:pt idx="1">
                  <c:v>26-30</c:v>
                </c:pt>
                <c:pt idx="2">
                  <c:v>31-35</c:v>
                </c:pt>
                <c:pt idx="3">
                  <c:v>36-40</c:v>
                </c:pt>
                <c:pt idx="4">
                  <c:v>41-45</c:v>
                </c:pt>
                <c:pt idx="5">
                  <c:v>46-50</c:v>
                </c:pt>
                <c:pt idx="6">
                  <c:v>51-55</c:v>
                </c:pt>
                <c:pt idx="7">
                  <c:v>56-60</c:v>
                </c:pt>
                <c:pt idx="8">
                  <c:v>61-65</c:v>
                </c:pt>
              </c:strCache>
            </c:strRef>
          </c:cat>
          <c:val>
            <c:numRef>
              <c:f>Calculations!$I$17:$I$25</c:f>
              <c:numCache>
                <c:formatCode>General</c:formatCode>
                <c:ptCount val="9"/>
                <c:pt idx="0">
                  <c:v>#N/A</c:v>
                </c:pt>
                <c:pt idx="1">
                  <c:v>4</c:v>
                </c:pt>
                <c:pt idx="2">
                  <c:v>8</c:v>
                </c:pt>
                <c:pt idx="3">
                  <c:v>2</c:v>
                </c:pt>
                <c:pt idx="4">
                  <c:v>1</c:v>
                </c:pt>
                <c:pt idx="5">
                  <c:v>#N/A</c:v>
                </c:pt>
                <c:pt idx="6">
                  <c:v>2</c:v>
                </c:pt>
                <c:pt idx="7">
                  <c:v>2</c:v>
                </c:pt>
                <c:pt idx="8">
                  <c:v>2</c:v>
                </c:pt>
              </c:numCache>
            </c:numRef>
          </c:val>
          <c:extLst>
            <c:ext xmlns:c16="http://schemas.microsoft.com/office/drawing/2014/chart" uri="{C3380CC4-5D6E-409C-BE32-E72D297353CC}">
              <c16:uniqueId val="{00000012-143F-D544-B8E9-9F889C551588}"/>
            </c:ext>
          </c:extLst>
        </c:ser>
        <c:dLbls>
          <c:showLegendKey val="0"/>
          <c:showVal val="0"/>
          <c:showCatName val="0"/>
          <c:showSerName val="0"/>
          <c:showPercent val="0"/>
          <c:showBubbleSize val="0"/>
          <c:showLeaderLines val="0"/>
        </c:dLbls>
        <c:firstSliceAng val="0"/>
      </c:pieChart>
    </c:plotArea>
    <c:plotVisOnly val="1"/>
    <c:dispBlanksAs val="zero"/>
    <c:showDLblsOverMax val="1"/>
  </c:chart>
  <c:spPr>
    <a:solidFill>
      <a:srgbClr val="FFFFFF"/>
    </a:solidFill>
  </c:sp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chemeClr val="dk1"/>
                </a:solidFill>
                <a:latin typeface="Trebuchet MS" panose="020B0703020202090204" pitchFamily="34" charset="0"/>
              </a:defRPr>
            </a:pPr>
            <a:r>
              <a:rPr lang="en-US" sz="1800" b="1" i="0">
                <a:solidFill>
                  <a:schemeClr val="dk1"/>
                </a:solidFill>
                <a:latin typeface="Trebuchet MS" panose="020B0703020202090204" pitchFamily="34" charset="0"/>
              </a:rPr>
              <a:t>New Employee per Business Unit in Q2</a:t>
            </a:r>
          </a:p>
        </c:rich>
      </c:tx>
      <c:overlay val="0"/>
    </c:title>
    <c:autoTitleDeleted val="0"/>
    <c:plotArea>
      <c:layout/>
      <c:barChart>
        <c:barDir val="col"/>
        <c:grouping val="clustered"/>
        <c:varyColors val="1"/>
        <c:ser>
          <c:idx val="0"/>
          <c:order val="0"/>
          <c:spPr>
            <a:solidFill>
              <a:srgbClr val="B0E7FF"/>
            </a:solidFill>
            <a:ln cmpd="sng">
              <a:noFill/>
            </a:ln>
          </c:spPr>
          <c:invertIfNegative val="1"/>
          <c:dLbls>
            <c:spPr>
              <a:noFill/>
              <a:ln>
                <a:noFill/>
              </a:ln>
              <a:effectLst/>
            </c:spPr>
            <c:txPr>
              <a:bodyPr/>
              <a:lstStyle/>
              <a:p>
                <a:pPr lvl="0">
                  <a:defRPr sz="800" b="0" i="0">
                    <a:solidFill>
                      <a:srgbClr val="31216B"/>
                    </a:solidFill>
                    <a:latin typeface="Trebuchet MS" panose="020B070302020209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Calculations!$G$357:$G$370</c:f>
              <c:strCache>
                <c:ptCount val="14"/>
                <c:pt idx="0">
                  <c:v>BU 1</c:v>
                </c:pt>
                <c:pt idx="1">
                  <c:v>BU 2</c:v>
                </c:pt>
                <c:pt idx="2">
                  <c:v>BU 3</c:v>
                </c:pt>
                <c:pt idx="3">
                  <c:v>BU 4</c:v>
                </c:pt>
                <c:pt idx="4">
                  <c:v>BU 5</c:v>
                </c:pt>
                <c:pt idx="5">
                  <c:v>BU 6</c:v>
                </c:pt>
                <c:pt idx="6">
                  <c:v>BU 7</c:v>
                </c:pt>
                <c:pt idx="7">
                  <c:v>BU 8</c:v>
                </c:pt>
                <c:pt idx="8">
                  <c:v>BU 9</c:v>
                </c:pt>
                <c:pt idx="9">
                  <c:v>BU 10</c:v>
                </c:pt>
                <c:pt idx="10">
                  <c:v>BU 11</c:v>
                </c:pt>
                <c:pt idx="11">
                  <c:v>BU 12</c:v>
                </c:pt>
                <c:pt idx="12">
                  <c:v>BU 13</c:v>
                </c:pt>
                <c:pt idx="13">
                  <c:v>BU 14</c:v>
                </c:pt>
              </c:strCache>
            </c:strRef>
          </c:cat>
          <c:val>
            <c:numRef>
              <c:f>Calculations!$H$357:$H$370</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0-2D78-DD42-9965-A6AA223BB113}"/>
            </c:ext>
          </c:extLst>
        </c:ser>
        <c:dLbls>
          <c:showLegendKey val="0"/>
          <c:showVal val="0"/>
          <c:showCatName val="0"/>
          <c:showSerName val="0"/>
          <c:showPercent val="0"/>
          <c:showBubbleSize val="0"/>
        </c:dLbls>
        <c:gapWidth val="150"/>
        <c:axId val="1198096484"/>
        <c:axId val="726155545"/>
      </c:barChart>
      <c:catAx>
        <c:axId val="1198096484"/>
        <c:scaling>
          <c:orientation val="minMax"/>
        </c:scaling>
        <c:delete val="0"/>
        <c:axPos val="b"/>
        <c:title>
          <c:tx>
            <c:rich>
              <a:bodyPr/>
              <a:lstStyle/>
              <a:p>
                <a:pPr lvl="0">
                  <a:defRPr b="0">
                    <a:solidFill>
                      <a:srgbClr val="31216B"/>
                    </a:solidFill>
                    <a:latin typeface="+mn-lt"/>
                  </a:defRPr>
                </a:pPr>
                <a:endParaRPr lang="en-NL"/>
              </a:p>
            </c:rich>
          </c:tx>
          <c:overlay val="0"/>
        </c:title>
        <c:numFmt formatCode="General" sourceLinked="1"/>
        <c:majorTickMark val="none"/>
        <c:minorTickMark val="none"/>
        <c:tickLblPos val="nextTo"/>
        <c:txPr>
          <a:bodyPr/>
          <a:lstStyle/>
          <a:p>
            <a:pPr lvl="0">
              <a:defRPr sz="1200" b="0" i="0">
                <a:solidFill>
                  <a:schemeClr val="dk1"/>
                </a:solidFill>
                <a:latin typeface="Trebuchet MS" panose="020B0703020202090204" pitchFamily="34" charset="0"/>
              </a:defRPr>
            </a:pPr>
            <a:endParaRPr lang="en-US"/>
          </a:p>
        </c:txPr>
        <c:crossAx val="726155545"/>
        <c:crosses val="autoZero"/>
        <c:auto val="1"/>
        <c:lblAlgn val="ctr"/>
        <c:lblOffset val="100"/>
        <c:noMultiLvlLbl val="1"/>
      </c:catAx>
      <c:valAx>
        <c:axId val="726155545"/>
        <c:scaling>
          <c:orientation val="minMax"/>
        </c:scaling>
        <c:delete val="1"/>
        <c:axPos val="l"/>
        <c:title>
          <c:tx>
            <c:rich>
              <a:bodyPr/>
              <a:lstStyle/>
              <a:p>
                <a:pPr lvl="0">
                  <a:defRPr b="0">
                    <a:solidFill>
                      <a:srgbClr val="31216B"/>
                    </a:solidFill>
                    <a:latin typeface="+mn-lt"/>
                  </a:defRPr>
                </a:pPr>
                <a:endParaRPr lang="en-NL"/>
              </a:p>
            </c:rich>
          </c:tx>
          <c:overlay val="0"/>
        </c:title>
        <c:numFmt formatCode="General" sourceLinked="1"/>
        <c:majorTickMark val="none"/>
        <c:minorTickMark val="none"/>
        <c:tickLblPos val="nextTo"/>
        <c:crossAx val="1198096484"/>
        <c:crosses val="autoZero"/>
        <c:crossBetween val="between"/>
      </c:valAx>
    </c:plotArea>
    <c:plotVisOnly val="1"/>
    <c:dispBlanksAs val="zero"/>
    <c:showDLblsOverMax val="1"/>
  </c:chart>
  <c:spPr>
    <a:solidFill>
      <a:schemeClr val="lt1"/>
    </a:solidFill>
  </c:sp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chemeClr val="dk1"/>
                </a:solidFill>
                <a:latin typeface="Trebuchet MS" panose="020B0703020202090204" pitchFamily="34" charset="0"/>
              </a:defRPr>
            </a:pPr>
            <a:r>
              <a:rPr lang="en-US" sz="1800" b="1" i="0">
                <a:solidFill>
                  <a:schemeClr val="dk1"/>
                </a:solidFill>
                <a:latin typeface="Trebuchet MS" panose="020B0703020202090204" pitchFamily="34" charset="0"/>
              </a:rPr>
              <a:t>Terminated Employee per Business Unit in Q2</a:t>
            </a:r>
          </a:p>
        </c:rich>
      </c:tx>
      <c:overlay val="0"/>
    </c:title>
    <c:autoTitleDeleted val="0"/>
    <c:plotArea>
      <c:layout/>
      <c:barChart>
        <c:barDir val="col"/>
        <c:grouping val="clustered"/>
        <c:varyColors val="1"/>
        <c:ser>
          <c:idx val="0"/>
          <c:order val="0"/>
          <c:spPr>
            <a:solidFill>
              <a:srgbClr val="B0E7FF"/>
            </a:solidFill>
            <a:ln cmpd="sng">
              <a:noFill/>
            </a:ln>
          </c:spPr>
          <c:invertIfNegative val="1"/>
          <c:dLbls>
            <c:spPr>
              <a:noFill/>
              <a:ln>
                <a:noFill/>
              </a:ln>
              <a:effectLst/>
            </c:spPr>
            <c:txPr>
              <a:bodyPr/>
              <a:lstStyle/>
              <a:p>
                <a:pPr lvl="0">
                  <a:defRPr sz="800" b="0" i="0">
                    <a:solidFill>
                      <a:srgbClr val="31216B"/>
                    </a:solidFill>
                    <a:latin typeface="Trebuchet MS" panose="020B070302020209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Calculations!$M$357:$M$370</c:f>
              <c:strCache>
                <c:ptCount val="14"/>
                <c:pt idx="0">
                  <c:v>BU 1</c:v>
                </c:pt>
                <c:pt idx="1">
                  <c:v>BU 2</c:v>
                </c:pt>
                <c:pt idx="2">
                  <c:v>BU 3</c:v>
                </c:pt>
                <c:pt idx="3">
                  <c:v>BU 4</c:v>
                </c:pt>
                <c:pt idx="4">
                  <c:v>BU 5</c:v>
                </c:pt>
                <c:pt idx="5">
                  <c:v>BU 6</c:v>
                </c:pt>
                <c:pt idx="6">
                  <c:v>BU 7</c:v>
                </c:pt>
                <c:pt idx="7">
                  <c:v>BU 8</c:v>
                </c:pt>
                <c:pt idx="8">
                  <c:v>BU 9</c:v>
                </c:pt>
                <c:pt idx="9">
                  <c:v>BU 10</c:v>
                </c:pt>
                <c:pt idx="10">
                  <c:v>BU 11</c:v>
                </c:pt>
                <c:pt idx="11">
                  <c:v>BU 12</c:v>
                </c:pt>
                <c:pt idx="12">
                  <c:v>BU 13</c:v>
                </c:pt>
                <c:pt idx="13">
                  <c:v>BU 14</c:v>
                </c:pt>
              </c:strCache>
            </c:strRef>
          </c:cat>
          <c:val>
            <c:numRef>
              <c:f>Calculations!$N$357:$N$370</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0-3A4A-434D-9D62-F0E014196D91}"/>
            </c:ext>
          </c:extLst>
        </c:ser>
        <c:dLbls>
          <c:showLegendKey val="0"/>
          <c:showVal val="0"/>
          <c:showCatName val="0"/>
          <c:showSerName val="0"/>
          <c:showPercent val="0"/>
          <c:showBubbleSize val="0"/>
        </c:dLbls>
        <c:gapWidth val="150"/>
        <c:axId val="448259956"/>
        <c:axId val="233826900"/>
      </c:barChart>
      <c:catAx>
        <c:axId val="448259956"/>
        <c:scaling>
          <c:orientation val="minMax"/>
        </c:scaling>
        <c:delete val="0"/>
        <c:axPos val="b"/>
        <c:title>
          <c:tx>
            <c:rich>
              <a:bodyPr/>
              <a:lstStyle/>
              <a:p>
                <a:pPr lvl="0">
                  <a:defRPr b="0">
                    <a:solidFill>
                      <a:srgbClr val="31216B"/>
                    </a:solidFill>
                    <a:latin typeface="+mn-lt"/>
                  </a:defRPr>
                </a:pPr>
                <a:endParaRPr lang="en-NL"/>
              </a:p>
            </c:rich>
          </c:tx>
          <c:overlay val="0"/>
        </c:title>
        <c:numFmt formatCode="General" sourceLinked="1"/>
        <c:majorTickMark val="none"/>
        <c:minorTickMark val="none"/>
        <c:tickLblPos val="nextTo"/>
        <c:txPr>
          <a:bodyPr/>
          <a:lstStyle/>
          <a:p>
            <a:pPr lvl="0">
              <a:defRPr sz="1200" b="0" i="0">
                <a:solidFill>
                  <a:schemeClr val="dk1"/>
                </a:solidFill>
                <a:latin typeface="Trebuchet MS" panose="020B0703020202090204" pitchFamily="34" charset="0"/>
              </a:defRPr>
            </a:pPr>
            <a:endParaRPr lang="en-US"/>
          </a:p>
        </c:txPr>
        <c:crossAx val="233826900"/>
        <c:crosses val="autoZero"/>
        <c:auto val="1"/>
        <c:lblAlgn val="ctr"/>
        <c:lblOffset val="100"/>
        <c:noMultiLvlLbl val="1"/>
      </c:catAx>
      <c:valAx>
        <c:axId val="233826900"/>
        <c:scaling>
          <c:orientation val="minMax"/>
        </c:scaling>
        <c:delete val="1"/>
        <c:axPos val="l"/>
        <c:title>
          <c:tx>
            <c:rich>
              <a:bodyPr/>
              <a:lstStyle/>
              <a:p>
                <a:pPr lvl="0">
                  <a:defRPr b="0">
                    <a:solidFill>
                      <a:srgbClr val="31216B"/>
                    </a:solidFill>
                    <a:latin typeface="+mn-lt"/>
                  </a:defRPr>
                </a:pPr>
                <a:endParaRPr lang="en-NL"/>
              </a:p>
            </c:rich>
          </c:tx>
          <c:overlay val="0"/>
        </c:title>
        <c:numFmt formatCode="General" sourceLinked="1"/>
        <c:majorTickMark val="none"/>
        <c:minorTickMark val="none"/>
        <c:tickLblPos val="nextTo"/>
        <c:crossAx val="448259956"/>
        <c:crosses val="autoZero"/>
        <c:crossBetween val="between"/>
      </c:valAx>
    </c:plotArea>
    <c:plotVisOnly val="1"/>
    <c:dispBlanksAs val="zero"/>
    <c:showDLblsOverMax val="1"/>
  </c:chart>
  <c:spPr>
    <a:solidFill>
      <a:schemeClr val="lt1"/>
    </a:solidFill>
  </c:sp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chemeClr val="dk1"/>
                </a:solidFill>
                <a:latin typeface="Trebuchet MS" panose="020B0703020202090204" pitchFamily="34" charset="0"/>
              </a:defRPr>
            </a:pPr>
            <a:r>
              <a:rPr lang="en-US" sz="1800" b="1" i="0">
                <a:solidFill>
                  <a:schemeClr val="dk1"/>
                </a:solidFill>
                <a:latin typeface="Trebuchet MS" panose="020B0703020202090204" pitchFamily="34" charset="0"/>
              </a:rPr>
              <a:t>Total New Employee Occupational Level Profile in Q2</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A1B7-FE41-830F-4F0E434F0FA9}"/>
              </c:ext>
            </c:extLst>
          </c:dPt>
          <c:dPt>
            <c:idx val="1"/>
            <c:bubble3D val="0"/>
            <c:spPr>
              <a:solidFill>
                <a:schemeClr val="accent2"/>
              </a:solidFill>
            </c:spPr>
            <c:extLst>
              <c:ext xmlns:c16="http://schemas.microsoft.com/office/drawing/2014/chart" uri="{C3380CC4-5D6E-409C-BE32-E72D297353CC}">
                <c16:uniqueId val="{00000003-A1B7-FE41-830F-4F0E434F0FA9}"/>
              </c:ext>
            </c:extLst>
          </c:dPt>
          <c:dPt>
            <c:idx val="2"/>
            <c:bubble3D val="0"/>
            <c:spPr>
              <a:solidFill>
                <a:schemeClr val="accent3"/>
              </a:solidFill>
            </c:spPr>
            <c:extLst>
              <c:ext xmlns:c16="http://schemas.microsoft.com/office/drawing/2014/chart" uri="{C3380CC4-5D6E-409C-BE32-E72D297353CC}">
                <c16:uniqueId val="{00000005-A1B7-FE41-830F-4F0E434F0FA9}"/>
              </c:ext>
            </c:extLst>
          </c:dPt>
          <c:dPt>
            <c:idx val="3"/>
            <c:bubble3D val="0"/>
            <c:spPr>
              <a:solidFill>
                <a:schemeClr val="accent4"/>
              </a:solidFill>
            </c:spPr>
            <c:extLst>
              <c:ext xmlns:c16="http://schemas.microsoft.com/office/drawing/2014/chart" uri="{C3380CC4-5D6E-409C-BE32-E72D297353CC}">
                <c16:uniqueId val="{00000007-A1B7-FE41-830F-4F0E434F0FA9}"/>
              </c:ext>
            </c:extLst>
          </c:dPt>
          <c:dPt>
            <c:idx val="4"/>
            <c:bubble3D val="0"/>
            <c:spPr>
              <a:solidFill>
                <a:schemeClr val="accent5"/>
              </a:solidFill>
            </c:spPr>
            <c:extLst>
              <c:ext xmlns:c16="http://schemas.microsoft.com/office/drawing/2014/chart" uri="{C3380CC4-5D6E-409C-BE32-E72D297353CC}">
                <c16:uniqueId val="{00000009-A1B7-FE41-830F-4F0E434F0FA9}"/>
              </c:ext>
            </c:extLst>
          </c:dPt>
          <c:dPt>
            <c:idx val="5"/>
            <c:bubble3D val="0"/>
            <c:spPr>
              <a:solidFill>
                <a:schemeClr val="accent6"/>
              </a:solidFill>
            </c:spPr>
            <c:extLst>
              <c:ext xmlns:c16="http://schemas.microsoft.com/office/drawing/2014/chart" uri="{C3380CC4-5D6E-409C-BE32-E72D297353CC}">
                <c16:uniqueId val="{0000000B-A1B7-FE41-830F-4F0E434F0FA9}"/>
              </c:ext>
            </c:extLst>
          </c:dPt>
          <c:dLbls>
            <c:dLbl>
              <c:idx val="0"/>
              <c:layout>
                <c:manualLayout>
                  <c:x val="-5.8408784712940899E-2"/>
                  <c:y val="2.0782953664551856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1B7-FE41-830F-4F0E434F0FA9}"/>
                </c:ext>
              </c:extLst>
            </c:dLbl>
            <c:dLbl>
              <c:idx val="1"/>
              <c:layout>
                <c:manualLayout>
                  <c:x val="0.10150003351776786"/>
                  <c:y val="-5.580811255734000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1B7-FE41-830F-4F0E434F0FA9}"/>
                </c:ext>
              </c:extLst>
            </c:dLbl>
            <c:dLbl>
              <c:idx val="2"/>
              <c:layout>
                <c:manualLayout>
                  <c:x val="8.2655319572175479E-2"/>
                  <c:y val="4.750473437154970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1B7-FE41-830F-4F0E434F0FA9}"/>
                </c:ext>
              </c:extLst>
            </c:dLbl>
            <c:dLbl>
              <c:idx val="3"/>
              <c:layout>
                <c:manualLayout>
                  <c:x val="3.4239677744209468E-2"/>
                  <c:y val="-4.892966360856280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1B7-FE41-830F-4F0E434F0FA9}"/>
                </c:ext>
              </c:extLst>
            </c:dLbl>
            <c:dLbl>
              <c:idx val="4"/>
              <c:layout>
                <c:manualLayout>
                  <c:x val="4.632426988922457E-2"/>
                  <c:y val="0"/>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A1B7-FE41-830F-4F0E434F0FA9}"/>
                </c:ext>
              </c:extLst>
            </c:dLbl>
            <c:dLbl>
              <c:idx val="5"/>
              <c:layout>
                <c:manualLayout>
                  <c:x val="4.632426988922457E-2"/>
                  <c:y val="5.810397553516814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A1B7-FE41-830F-4F0E434F0FA9}"/>
                </c:ext>
              </c:extLst>
            </c:dLbl>
            <c:spPr>
              <a:solidFill>
                <a:srgbClr val="FFFFFF"/>
              </a:solidFill>
              <a:ln>
                <a:solidFill>
                  <a:srgbClr val="31216B">
                    <a:lumMod val="65000"/>
                    <a:lumOff val="35000"/>
                  </a:srgbClr>
                </a:solidFill>
              </a:ln>
              <a:effectLst/>
            </c:spPr>
            <c:txPr>
              <a:bodyPr wrap="square" lIns="38100" tIns="19050" rIns="38100" bIns="19050" anchor="ctr">
                <a:spAutoFit/>
              </a:bodyPr>
              <a:lstStyle/>
              <a:p>
                <a:pPr>
                  <a:defRPr b="0" i="0">
                    <a:latin typeface="Trebuchet MS" panose="020B0703020202090204" pitchFamily="34" charset="0"/>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c15:spPr>
              </c:ext>
            </c:extLst>
          </c:dLbls>
          <c:cat>
            <c:strRef>
              <c:f>Calculations!$I$407:$I$412</c:f>
              <c:strCache>
                <c:ptCount val="6"/>
                <c:pt idx="0">
                  <c:v>Employee</c:v>
                </c:pt>
                <c:pt idx="1">
                  <c:v>Junior Management</c:v>
                </c:pt>
                <c:pt idx="2">
                  <c:v>Management</c:v>
                </c:pt>
                <c:pt idx="3">
                  <c:v>Senior Management</c:v>
                </c:pt>
                <c:pt idx="4">
                  <c:v>Specialist</c:v>
                </c:pt>
                <c:pt idx="5">
                  <c:v>Executive</c:v>
                </c:pt>
              </c:strCache>
            </c:strRef>
          </c:cat>
          <c:val>
            <c:numRef>
              <c:f>Calculations!$J$407:$J$412</c:f>
              <c:numCache>
                <c:formatCode>General</c:formatCode>
                <c:ptCount val="6"/>
                <c:pt idx="0">
                  <c:v>#N/A</c:v>
                </c:pt>
                <c:pt idx="1">
                  <c:v>#N/A</c:v>
                </c:pt>
                <c:pt idx="2">
                  <c:v>#N/A</c:v>
                </c:pt>
                <c:pt idx="3">
                  <c:v>#N/A</c:v>
                </c:pt>
                <c:pt idx="4">
                  <c:v>#N/A</c:v>
                </c:pt>
                <c:pt idx="5">
                  <c:v>#N/A</c:v>
                </c:pt>
              </c:numCache>
            </c:numRef>
          </c:val>
          <c:extLst>
            <c:ext xmlns:c16="http://schemas.microsoft.com/office/drawing/2014/chart" uri="{C3380CC4-5D6E-409C-BE32-E72D297353CC}">
              <c16:uniqueId val="{0000000C-A1B7-FE41-830F-4F0E434F0FA9}"/>
            </c:ext>
          </c:extLst>
        </c:ser>
        <c:dLbls>
          <c:showLegendKey val="0"/>
          <c:showVal val="0"/>
          <c:showCatName val="0"/>
          <c:showSerName val="0"/>
          <c:showPercent val="0"/>
          <c:showBubbleSize val="0"/>
          <c:showLeaderLines val="0"/>
        </c:dLbls>
        <c:firstSliceAng val="0"/>
      </c:pieChart>
    </c:plotArea>
    <c:plotVisOnly val="1"/>
    <c:dispBlanksAs val="zero"/>
    <c:showDLblsOverMax val="1"/>
  </c:chart>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chemeClr val="dk1"/>
                </a:solidFill>
                <a:latin typeface="Trebuchet MS" panose="020B0703020202090204" pitchFamily="34" charset="0"/>
              </a:defRPr>
            </a:pPr>
            <a:r>
              <a:rPr lang="en-US" sz="1800" b="1" i="0">
                <a:solidFill>
                  <a:schemeClr val="dk1"/>
                </a:solidFill>
                <a:latin typeface="Trebuchet MS" panose="020B0703020202090204" pitchFamily="34" charset="0"/>
              </a:rPr>
              <a:t>Total Terminated Employee Occupational Level Profile in Q2</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573D-E542-B33D-48C8AD5BC006}"/>
              </c:ext>
            </c:extLst>
          </c:dPt>
          <c:dPt>
            <c:idx val="1"/>
            <c:bubble3D val="0"/>
            <c:spPr>
              <a:solidFill>
                <a:schemeClr val="accent2"/>
              </a:solidFill>
            </c:spPr>
            <c:extLst>
              <c:ext xmlns:c16="http://schemas.microsoft.com/office/drawing/2014/chart" uri="{C3380CC4-5D6E-409C-BE32-E72D297353CC}">
                <c16:uniqueId val="{00000003-573D-E542-B33D-48C8AD5BC006}"/>
              </c:ext>
            </c:extLst>
          </c:dPt>
          <c:dPt>
            <c:idx val="2"/>
            <c:bubble3D val="0"/>
            <c:spPr>
              <a:solidFill>
                <a:schemeClr val="accent3"/>
              </a:solidFill>
            </c:spPr>
            <c:extLst>
              <c:ext xmlns:c16="http://schemas.microsoft.com/office/drawing/2014/chart" uri="{C3380CC4-5D6E-409C-BE32-E72D297353CC}">
                <c16:uniqueId val="{00000005-573D-E542-B33D-48C8AD5BC006}"/>
              </c:ext>
            </c:extLst>
          </c:dPt>
          <c:dPt>
            <c:idx val="3"/>
            <c:bubble3D val="0"/>
            <c:spPr>
              <a:solidFill>
                <a:schemeClr val="accent4"/>
              </a:solidFill>
            </c:spPr>
            <c:extLst>
              <c:ext xmlns:c16="http://schemas.microsoft.com/office/drawing/2014/chart" uri="{C3380CC4-5D6E-409C-BE32-E72D297353CC}">
                <c16:uniqueId val="{00000007-573D-E542-B33D-48C8AD5BC006}"/>
              </c:ext>
            </c:extLst>
          </c:dPt>
          <c:dPt>
            <c:idx val="4"/>
            <c:bubble3D val="0"/>
            <c:spPr>
              <a:solidFill>
                <a:schemeClr val="accent5"/>
              </a:solidFill>
            </c:spPr>
            <c:extLst>
              <c:ext xmlns:c16="http://schemas.microsoft.com/office/drawing/2014/chart" uri="{C3380CC4-5D6E-409C-BE32-E72D297353CC}">
                <c16:uniqueId val="{00000009-573D-E542-B33D-48C8AD5BC006}"/>
              </c:ext>
            </c:extLst>
          </c:dPt>
          <c:dPt>
            <c:idx val="5"/>
            <c:bubble3D val="0"/>
            <c:spPr>
              <a:solidFill>
                <a:schemeClr val="accent6"/>
              </a:solidFill>
            </c:spPr>
            <c:extLst>
              <c:ext xmlns:c16="http://schemas.microsoft.com/office/drawing/2014/chart" uri="{C3380CC4-5D6E-409C-BE32-E72D297353CC}">
                <c16:uniqueId val="{0000000B-573D-E542-B33D-48C8AD5BC006}"/>
              </c:ext>
            </c:extLst>
          </c:dPt>
          <c:dLbls>
            <c:dLbl>
              <c:idx val="0"/>
              <c:layout>
                <c:manualLayout>
                  <c:x val="-6.4985994397759192E-2"/>
                  <c:y val="1.851851851851851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73D-E542-B33D-48C8AD5BC006}"/>
                </c:ext>
              </c:extLst>
            </c:dLbl>
            <c:dLbl>
              <c:idx val="1"/>
              <c:layout>
                <c:manualLayout>
                  <c:x val="-4.4817927170868344E-3"/>
                  <c:y val="-4.012345679012357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73D-E542-B33D-48C8AD5BC006}"/>
                </c:ext>
              </c:extLst>
            </c:dLbl>
            <c:dLbl>
              <c:idx val="2"/>
              <c:layout>
                <c:manualLayout>
                  <c:x val="4.0336134453781473E-2"/>
                  <c:y val="-2.469135802469135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73D-E542-B33D-48C8AD5BC006}"/>
                </c:ext>
              </c:extLst>
            </c:dLbl>
            <c:dLbl>
              <c:idx val="3"/>
              <c:layout>
                <c:manualLayout>
                  <c:x val="4.7058823529411743E-2"/>
                  <c:y val="-1.234567901234567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73D-E542-B33D-48C8AD5BC006}"/>
                </c:ext>
              </c:extLst>
            </c:dLbl>
            <c:dLbl>
              <c:idx val="4"/>
              <c:layout>
                <c:manualLayout>
                  <c:x val="4.7058823529411764E-2"/>
                  <c:y val="4.320987654320987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573D-E542-B33D-48C8AD5BC006}"/>
                </c:ext>
              </c:extLst>
            </c:dLbl>
            <c:dLbl>
              <c:idx val="5"/>
              <c:layout>
                <c:manualLayout>
                  <c:x val="2.464985994397759E-2"/>
                  <c:y val="4.012345679012342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573D-E542-B33D-48C8AD5BC006}"/>
                </c:ext>
              </c:extLst>
            </c:dLbl>
            <c:spPr>
              <a:solidFill>
                <a:srgbClr val="FFFFFF"/>
              </a:solidFill>
              <a:ln>
                <a:solidFill>
                  <a:srgbClr val="31216B">
                    <a:lumMod val="65000"/>
                    <a:lumOff val="35000"/>
                  </a:srgbClr>
                </a:solidFill>
              </a:ln>
              <a:effectLst/>
            </c:spPr>
            <c:txPr>
              <a:bodyPr wrap="square" lIns="38100" tIns="19050" rIns="38100" bIns="19050" anchor="ctr">
                <a:spAutoFit/>
              </a:bodyPr>
              <a:lstStyle/>
              <a:p>
                <a:pPr>
                  <a:defRPr b="0" i="0">
                    <a:latin typeface="Trebuchet MS" panose="020B0703020202090204" pitchFamily="34" charset="0"/>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c15:spPr>
              </c:ext>
            </c:extLst>
          </c:dLbls>
          <c:cat>
            <c:strRef>
              <c:f>Calculations!$O$407:$O$412</c:f>
              <c:strCache>
                <c:ptCount val="6"/>
                <c:pt idx="0">
                  <c:v>Employee</c:v>
                </c:pt>
                <c:pt idx="1">
                  <c:v>Junior Management</c:v>
                </c:pt>
                <c:pt idx="2">
                  <c:v>Management</c:v>
                </c:pt>
                <c:pt idx="3">
                  <c:v>Senior Management</c:v>
                </c:pt>
                <c:pt idx="4">
                  <c:v>Specialist</c:v>
                </c:pt>
                <c:pt idx="5">
                  <c:v>Executive</c:v>
                </c:pt>
              </c:strCache>
            </c:strRef>
          </c:cat>
          <c:val>
            <c:numRef>
              <c:f>Calculations!$P$407:$P$412</c:f>
              <c:numCache>
                <c:formatCode>General</c:formatCode>
                <c:ptCount val="6"/>
                <c:pt idx="0">
                  <c:v>#N/A</c:v>
                </c:pt>
                <c:pt idx="1">
                  <c:v>#N/A</c:v>
                </c:pt>
                <c:pt idx="2">
                  <c:v>#N/A</c:v>
                </c:pt>
                <c:pt idx="3">
                  <c:v>#N/A</c:v>
                </c:pt>
                <c:pt idx="4">
                  <c:v>#N/A</c:v>
                </c:pt>
                <c:pt idx="5">
                  <c:v>#N/A</c:v>
                </c:pt>
              </c:numCache>
            </c:numRef>
          </c:val>
          <c:extLst>
            <c:ext xmlns:c16="http://schemas.microsoft.com/office/drawing/2014/chart" uri="{C3380CC4-5D6E-409C-BE32-E72D297353CC}">
              <c16:uniqueId val="{0000000C-573D-E542-B33D-48C8AD5BC006}"/>
            </c:ext>
          </c:extLst>
        </c:ser>
        <c:dLbls>
          <c:showLegendKey val="0"/>
          <c:showVal val="0"/>
          <c:showCatName val="0"/>
          <c:showSerName val="0"/>
          <c:showPercent val="0"/>
          <c:showBubbleSize val="0"/>
          <c:showLeaderLines val="0"/>
        </c:dLbls>
        <c:firstSliceAng val="0"/>
      </c:pieChart>
    </c:plotArea>
    <c:plotVisOnly val="1"/>
    <c:dispBlanksAs val="zero"/>
    <c:showDLblsOverMax val="1"/>
  </c:chart>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chemeClr val="dk1"/>
                </a:solidFill>
                <a:latin typeface="Trebuchet MS" panose="020B0703020202090204" pitchFamily="34" charset="0"/>
              </a:defRPr>
            </a:pPr>
            <a:r>
              <a:rPr lang="en-US" sz="1800" b="1" i="0">
                <a:solidFill>
                  <a:schemeClr val="dk1"/>
                </a:solidFill>
                <a:latin typeface="Trebuchet MS" panose="020B0703020202090204" pitchFamily="34" charset="0"/>
              </a:rPr>
              <a:t>Total New Employee Gender Profile in Q3</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CEF4-304D-81A4-2CA5AC216412}"/>
              </c:ext>
            </c:extLst>
          </c:dPt>
          <c:dPt>
            <c:idx val="1"/>
            <c:bubble3D val="0"/>
            <c:spPr>
              <a:solidFill>
                <a:schemeClr val="accent2"/>
              </a:solidFill>
            </c:spPr>
            <c:extLst>
              <c:ext xmlns:c16="http://schemas.microsoft.com/office/drawing/2014/chart" uri="{C3380CC4-5D6E-409C-BE32-E72D297353CC}">
                <c16:uniqueId val="{00000003-CEF4-304D-81A4-2CA5AC216412}"/>
              </c:ext>
            </c:extLst>
          </c:dPt>
          <c:dPt>
            <c:idx val="2"/>
            <c:bubble3D val="0"/>
            <c:spPr>
              <a:solidFill>
                <a:schemeClr val="accent3"/>
              </a:solidFill>
            </c:spPr>
            <c:extLst>
              <c:ext xmlns:c16="http://schemas.microsoft.com/office/drawing/2014/chart" uri="{C3380CC4-5D6E-409C-BE32-E72D297353CC}">
                <c16:uniqueId val="{00000005-CEF4-304D-81A4-2CA5AC216412}"/>
              </c:ext>
            </c:extLst>
          </c:dPt>
          <c:dPt>
            <c:idx val="3"/>
            <c:bubble3D val="0"/>
            <c:spPr>
              <a:solidFill>
                <a:schemeClr val="accent4"/>
              </a:solidFill>
            </c:spPr>
            <c:extLst>
              <c:ext xmlns:c16="http://schemas.microsoft.com/office/drawing/2014/chart" uri="{C3380CC4-5D6E-409C-BE32-E72D297353CC}">
                <c16:uniqueId val="{00000007-CEF4-304D-81A4-2CA5AC216412}"/>
              </c:ext>
            </c:extLst>
          </c:dPt>
          <c:dLbls>
            <c:dLbl>
              <c:idx val="0"/>
              <c:layout>
                <c:manualLayout>
                  <c:x val="-5.1130268813161128E-2"/>
                  <c:y val="3.2350473310350063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EF4-304D-81A4-2CA5AC216412}"/>
                </c:ext>
              </c:extLst>
            </c:dLbl>
            <c:dLbl>
              <c:idx val="1"/>
              <c:layout>
                <c:manualLayout>
                  <c:x val="3.4768582792949428E-2"/>
                  <c:y val="-5.499580462759522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EF4-304D-81A4-2CA5AC216412}"/>
                </c:ext>
              </c:extLst>
            </c:dLbl>
            <c:dLbl>
              <c:idx val="2"/>
              <c:layout>
                <c:manualLayout>
                  <c:x val="4.9085058060634505E-2"/>
                  <c:y val="-4.529066263449008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EF4-304D-81A4-2CA5AC216412}"/>
                </c:ext>
              </c:extLst>
            </c:dLbl>
            <c:dLbl>
              <c:idx val="3"/>
              <c:layout>
                <c:manualLayout>
                  <c:x val="4.2949425803055226E-2"/>
                  <c:y val="4.852570996552509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EF4-304D-81A4-2CA5AC216412}"/>
                </c:ext>
              </c:extLst>
            </c:dLbl>
            <c:dLbl>
              <c:idx val="4"/>
              <c:layout>
                <c:manualLayout>
                  <c:x val="7.362758709095181E-2"/>
                  <c:y val="6.470094662070009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B46-EA44-90DB-02B126DA8638}"/>
                </c:ext>
              </c:extLst>
            </c:dLbl>
            <c:spPr>
              <a:solidFill>
                <a:srgbClr val="FFFFFF"/>
              </a:solidFill>
              <a:ln>
                <a:solidFill>
                  <a:srgbClr val="31216B">
                    <a:lumMod val="65000"/>
                    <a:lumOff val="35000"/>
                  </a:srgbClr>
                </a:solidFill>
              </a:ln>
              <a:effectLst/>
            </c:spPr>
            <c:txPr>
              <a:bodyPr wrap="square" lIns="38100" tIns="19050" rIns="38100" bIns="19050" anchor="ctr">
                <a:spAutoFit/>
              </a:bodyPr>
              <a:lstStyle/>
              <a:p>
                <a:pPr>
                  <a:defRPr b="0" i="0">
                    <a:latin typeface="Trebuchet MS" panose="020B0703020202090204" pitchFamily="34" charset="0"/>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c15:spPr>
              </c:ext>
            </c:extLst>
          </c:dLbls>
          <c:cat>
            <c:strRef>
              <c:f>Calculations!$I$437:$I$441</c:f>
              <c:strCache>
                <c:ptCount val="5"/>
                <c:pt idx="0">
                  <c:v>Female</c:v>
                </c:pt>
                <c:pt idx="1">
                  <c:v>Male</c:v>
                </c:pt>
                <c:pt idx="2">
                  <c:v>Nonbinary</c:v>
                </c:pt>
                <c:pt idx="3">
                  <c:v>Other</c:v>
                </c:pt>
                <c:pt idx="4">
                  <c:v>Prefers not to disclose</c:v>
                </c:pt>
              </c:strCache>
            </c:strRef>
          </c:cat>
          <c:val>
            <c:numRef>
              <c:f>Calculations!$J$437:$J$441</c:f>
              <c:numCache>
                <c:formatCode>General</c:formatCode>
                <c:ptCount val="5"/>
                <c:pt idx="0">
                  <c:v>#N/A</c:v>
                </c:pt>
                <c:pt idx="1">
                  <c:v>#N/A</c:v>
                </c:pt>
                <c:pt idx="2">
                  <c:v>#N/A</c:v>
                </c:pt>
                <c:pt idx="3">
                  <c:v>#N/A</c:v>
                </c:pt>
                <c:pt idx="4">
                  <c:v>#N/A</c:v>
                </c:pt>
              </c:numCache>
            </c:numRef>
          </c:val>
          <c:extLst>
            <c:ext xmlns:c16="http://schemas.microsoft.com/office/drawing/2014/chart" uri="{C3380CC4-5D6E-409C-BE32-E72D297353CC}">
              <c16:uniqueId val="{00000008-CEF4-304D-81A4-2CA5AC216412}"/>
            </c:ext>
          </c:extLst>
        </c:ser>
        <c:dLbls>
          <c:showLegendKey val="0"/>
          <c:showVal val="0"/>
          <c:showCatName val="0"/>
          <c:showSerName val="0"/>
          <c:showPercent val="0"/>
          <c:showBubbleSize val="0"/>
          <c:showLeaderLines val="0"/>
        </c:dLbls>
        <c:firstSliceAng val="0"/>
      </c:pieChart>
    </c:plotArea>
    <c:plotVisOnly val="1"/>
    <c:dispBlanksAs val="zero"/>
    <c:showDLblsOverMax val="1"/>
  </c:chart>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chemeClr val="dk1"/>
                </a:solidFill>
                <a:latin typeface="Trebuchet MS" panose="020B0703020202090204" pitchFamily="34" charset="0"/>
              </a:defRPr>
            </a:pPr>
            <a:r>
              <a:rPr lang="en-US" sz="1800" b="1" i="0">
                <a:solidFill>
                  <a:schemeClr val="dk1"/>
                </a:solidFill>
                <a:latin typeface="Trebuchet MS" panose="020B0703020202090204" pitchFamily="34" charset="0"/>
              </a:rPr>
              <a:t>Total Terminated Employee Gender Profile in Q3</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412A-9B46-9D94-87BBCB04A58D}"/>
              </c:ext>
            </c:extLst>
          </c:dPt>
          <c:dPt>
            <c:idx val="1"/>
            <c:bubble3D val="0"/>
            <c:spPr>
              <a:solidFill>
                <a:schemeClr val="accent2"/>
              </a:solidFill>
            </c:spPr>
            <c:extLst>
              <c:ext xmlns:c16="http://schemas.microsoft.com/office/drawing/2014/chart" uri="{C3380CC4-5D6E-409C-BE32-E72D297353CC}">
                <c16:uniqueId val="{00000003-412A-9B46-9D94-87BBCB04A58D}"/>
              </c:ext>
            </c:extLst>
          </c:dPt>
          <c:dPt>
            <c:idx val="2"/>
            <c:bubble3D val="0"/>
            <c:spPr>
              <a:solidFill>
                <a:schemeClr val="accent3"/>
              </a:solidFill>
            </c:spPr>
            <c:extLst>
              <c:ext xmlns:c16="http://schemas.microsoft.com/office/drawing/2014/chart" uri="{C3380CC4-5D6E-409C-BE32-E72D297353CC}">
                <c16:uniqueId val="{00000005-412A-9B46-9D94-87BBCB04A58D}"/>
              </c:ext>
            </c:extLst>
          </c:dPt>
          <c:dPt>
            <c:idx val="3"/>
            <c:bubble3D val="0"/>
            <c:spPr>
              <a:solidFill>
                <a:schemeClr val="accent4"/>
              </a:solidFill>
            </c:spPr>
            <c:extLst>
              <c:ext xmlns:c16="http://schemas.microsoft.com/office/drawing/2014/chart" uri="{C3380CC4-5D6E-409C-BE32-E72D297353CC}">
                <c16:uniqueId val="{00000007-412A-9B46-9D94-87BBCB04A58D}"/>
              </c:ext>
            </c:extLst>
          </c:dPt>
          <c:dLbls>
            <c:dLbl>
              <c:idx val="0"/>
              <c:layout>
                <c:manualLayout>
                  <c:x val="-4.0669138624442385E-3"/>
                  <c:y val="-5.1760757296560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12A-9B46-9D94-87BBCB04A58D}"/>
                </c:ext>
              </c:extLst>
            </c:dLbl>
            <c:dLbl>
              <c:idx val="1"/>
              <c:layout>
                <c:manualLayout>
                  <c:x val="-2.8468397037109149E-2"/>
                  <c:y val="-5.269560955678832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12A-9B46-9D94-87BBCB04A58D}"/>
                </c:ext>
              </c:extLst>
            </c:dLbl>
            <c:dLbl>
              <c:idx val="2"/>
              <c:layout>
                <c:manualLayout>
                  <c:x val="4.0669138624441638E-2"/>
                  <c:y val="-4.205561530345520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12A-9B46-9D94-87BBCB04A58D}"/>
                </c:ext>
              </c:extLst>
            </c:dLbl>
            <c:dLbl>
              <c:idx val="3"/>
              <c:layout>
                <c:manualLayout>
                  <c:x val="4.8802966349329971E-2"/>
                  <c:y val="-9.7051419931050188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12A-9B46-9D94-87BBCB04A58D}"/>
                </c:ext>
              </c:extLst>
            </c:dLbl>
            <c:dLbl>
              <c:idx val="4"/>
              <c:layout>
                <c:manualLayout>
                  <c:x val="6.5070621799106665E-2"/>
                  <c:y val="6.14658992896651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DA4-C245-B35B-040CB3A6C7F2}"/>
                </c:ext>
              </c:extLst>
            </c:dLbl>
            <c:spPr>
              <a:solidFill>
                <a:srgbClr val="FFFFFF"/>
              </a:solidFill>
              <a:ln>
                <a:solidFill>
                  <a:srgbClr val="31216B">
                    <a:lumMod val="65000"/>
                    <a:lumOff val="35000"/>
                  </a:srgbClr>
                </a:solidFill>
              </a:ln>
              <a:effectLst/>
            </c:spPr>
            <c:txPr>
              <a:bodyPr wrap="square" lIns="38100" tIns="19050" rIns="38100" bIns="19050" anchor="ctr">
                <a:spAutoFit/>
              </a:bodyPr>
              <a:lstStyle/>
              <a:p>
                <a:pPr>
                  <a:defRPr b="0" i="0">
                    <a:latin typeface="Trebuchet MS" panose="020B0703020202090204" pitchFamily="34" charset="0"/>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c15:spPr>
              </c:ext>
            </c:extLst>
          </c:dLbls>
          <c:cat>
            <c:strRef>
              <c:f>Calculations!$O$437:$O$441</c:f>
              <c:strCache>
                <c:ptCount val="5"/>
                <c:pt idx="0">
                  <c:v>Female</c:v>
                </c:pt>
                <c:pt idx="1">
                  <c:v>Male</c:v>
                </c:pt>
                <c:pt idx="2">
                  <c:v>Nonbinary</c:v>
                </c:pt>
                <c:pt idx="3">
                  <c:v>Other</c:v>
                </c:pt>
                <c:pt idx="4">
                  <c:v>Prefers not to disclose</c:v>
                </c:pt>
              </c:strCache>
            </c:strRef>
          </c:cat>
          <c:val>
            <c:numRef>
              <c:f>Calculations!$P$437:$P$441</c:f>
              <c:numCache>
                <c:formatCode>General</c:formatCode>
                <c:ptCount val="5"/>
                <c:pt idx="0">
                  <c:v>#N/A</c:v>
                </c:pt>
                <c:pt idx="1">
                  <c:v>#N/A</c:v>
                </c:pt>
                <c:pt idx="2">
                  <c:v>#N/A</c:v>
                </c:pt>
                <c:pt idx="3">
                  <c:v>#N/A</c:v>
                </c:pt>
                <c:pt idx="4">
                  <c:v>#N/A</c:v>
                </c:pt>
              </c:numCache>
            </c:numRef>
          </c:val>
          <c:extLst>
            <c:ext xmlns:c16="http://schemas.microsoft.com/office/drawing/2014/chart" uri="{C3380CC4-5D6E-409C-BE32-E72D297353CC}">
              <c16:uniqueId val="{00000008-412A-9B46-9D94-87BBCB04A58D}"/>
            </c:ext>
          </c:extLst>
        </c:ser>
        <c:dLbls>
          <c:showLegendKey val="0"/>
          <c:showVal val="0"/>
          <c:showCatName val="0"/>
          <c:showSerName val="0"/>
          <c:showPercent val="0"/>
          <c:showBubbleSize val="0"/>
          <c:showLeaderLines val="0"/>
        </c:dLbls>
        <c:firstSliceAng val="0"/>
      </c:pieChart>
    </c:plotArea>
    <c:plotVisOnly val="1"/>
    <c:dispBlanksAs val="zero"/>
    <c:showDLblsOverMax val="1"/>
  </c:chart>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chemeClr val="dk1"/>
                </a:solidFill>
                <a:latin typeface="Trebuchet MS" panose="020B0703020202090204" pitchFamily="34" charset="0"/>
              </a:defRPr>
            </a:pPr>
            <a:r>
              <a:rPr lang="en-US" sz="1800" b="1" i="0">
                <a:solidFill>
                  <a:schemeClr val="dk1"/>
                </a:solidFill>
                <a:latin typeface="Trebuchet MS" panose="020B0703020202090204" pitchFamily="34" charset="0"/>
              </a:rPr>
              <a:t>Total New Employee Race Profile in Q3</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5A60-7B44-9F24-8C678D3C6165}"/>
              </c:ext>
            </c:extLst>
          </c:dPt>
          <c:dPt>
            <c:idx val="1"/>
            <c:bubble3D val="0"/>
            <c:spPr>
              <a:solidFill>
                <a:schemeClr val="accent2"/>
              </a:solidFill>
            </c:spPr>
            <c:extLst>
              <c:ext xmlns:c16="http://schemas.microsoft.com/office/drawing/2014/chart" uri="{C3380CC4-5D6E-409C-BE32-E72D297353CC}">
                <c16:uniqueId val="{00000003-5A60-7B44-9F24-8C678D3C6165}"/>
              </c:ext>
            </c:extLst>
          </c:dPt>
          <c:dPt>
            <c:idx val="2"/>
            <c:bubble3D val="0"/>
            <c:spPr>
              <a:solidFill>
                <a:schemeClr val="accent3"/>
              </a:solidFill>
            </c:spPr>
            <c:extLst>
              <c:ext xmlns:c16="http://schemas.microsoft.com/office/drawing/2014/chart" uri="{C3380CC4-5D6E-409C-BE32-E72D297353CC}">
                <c16:uniqueId val="{00000005-5A60-7B44-9F24-8C678D3C6165}"/>
              </c:ext>
            </c:extLst>
          </c:dPt>
          <c:dPt>
            <c:idx val="3"/>
            <c:bubble3D val="0"/>
            <c:spPr>
              <a:solidFill>
                <a:schemeClr val="accent4"/>
              </a:solidFill>
            </c:spPr>
            <c:extLst>
              <c:ext xmlns:c16="http://schemas.microsoft.com/office/drawing/2014/chart" uri="{C3380CC4-5D6E-409C-BE32-E72D297353CC}">
                <c16:uniqueId val="{00000007-5A60-7B44-9F24-8C678D3C6165}"/>
              </c:ext>
            </c:extLst>
          </c:dPt>
          <c:dPt>
            <c:idx val="4"/>
            <c:bubble3D val="0"/>
            <c:spPr>
              <a:solidFill>
                <a:schemeClr val="accent5"/>
              </a:solidFill>
            </c:spPr>
            <c:extLst>
              <c:ext xmlns:c16="http://schemas.microsoft.com/office/drawing/2014/chart" uri="{C3380CC4-5D6E-409C-BE32-E72D297353CC}">
                <c16:uniqueId val="{00000009-5A60-7B44-9F24-8C678D3C6165}"/>
              </c:ext>
            </c:extLst>
          </c:dPt>
          <c:dPt>
            <c:idx val="5"/>
            <c:bubble3D val="0"/>
            <c:spPr>
              <a:solidFill>
                <a:srgbClr val="FFD0D4"/>
              </a:solidFill>
            </c:spPr>
            <c:extLst>
              <c:ext xmlns:c16="http://schemas.microsoft.com/office/drawing/2014/chart" uri="{C3380CC4-5D6E-409C-BE32-E72D297353CC}">
                <c16:uniqueId val="{0000000A-0E42-7E4C-98A5-506F3E810D5A}"/>
              </c:ext>
            </c:extLst>
          </c:dPt>
          <c:dLbls>
            <c:dLbl>
              <c:idx val="0"/>
              <c:layout>
                <c:manualLayout>
                  <c:x val="-3.6813793545475981E-2"/>
                  <c:y val="5.093791440324676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A60-7B44-9F24-8C678D3C6165}"/>
                </c:ext>
              </c:extLst>
            </c:dLbl>
            <c:dLbl>
              <c:idx val="1"/>
              <c:layout>
                <c:manualLayout>
                  <c:x val="-3.8859004298002348E-2"/>
                  <c:y val="-5.093791440324679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A60-7B44-9F24-8C678D3C6165}"/>
                </c:ext>
              </c:extLst>
            </c:dLbl>
            <c:dLbl>
              <c:idx val="2"/>
              <c:layout>
                <c:manualLayout>
                  <c:x val="-0.11044138063642779"/>
                  <c:y val="-2.546895720162339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A60-7B44-9F24-8C678D3C6165}"/>
                </c:ext>
              </c:extLst>
            </c:dLbl>
            <c:dLbl>
              <c:idx val="3"/>
              <c:layout>
                <c:manualLayout>
                  <c:x val="4.0904215050528818E-2"/>
                  <c:y val="-5.412153405344971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A60-7B44-9F24-8C678D3C6165}"/>
                </c:ext>
              </c:extLst>
            </c:dLbl>
            <c:dLbl>
              <c:idx val="4"/>
              <c:layout>
                <c:manualLayout>
                  <c:x val="7.9763219348531089E-2"/>
                  <c:y val="7.640687160487015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5A60-7B44-9F24-8C678D3C6165}"/>
                </c:ext>
              </c:extLst>
            </c:dLbl>
            <c:dLbl>
              <c:idx val="5"/>
              <c:layout>
                <c:manualLayout>
                  <c:x val="6.9537165585898855E-2"/>
                  <c:y val="4.457067510284094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0E42-7E4C-98A5-506F3E810D5A}"/>
                </c:ext>
              </c:extLst>
            </c:dLbl>
            <c:spPr>
              <a:solidFill>
                <a:srgbClr val="FFFFFF"/>
              </a:solidFill>
              <a:ln>
                <a:solidFill>
                  <a:srgbClr val="31216B">
                    <a:lumMod val="65000"/>
                    <a:lumOff val="35000"/>
                  </a:srgbClr>
                </a:solidFill>
              </a:ln>
              <a:effectLst/>
            </c:spPr>
            <c:txPr>
              <a:bodyPr wrap="square" lIns="38100" tIns="19050" rIns="38100" bIns="19050" anchor="ctr">
                <a:spAutoFit/>
              </a:bodyPr>
              <a:lstStyle/>
              <a:p>
                <a:pPr>
                  <a:defRPr b="0" i="0">
                    <a:latin typeface="Trebuchet MS" panose="020B0703020202090204" pitchFamily="34" charset="0"/>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c15:spPr>
              </c:ext>
            </c:extLst>
          </c:dLbls>
          <c:cat>
            <c:strRef>
              <c:f>Calculations!$I$461:$I$466</c:f>
              <c:strCache>
                <c:ptCount val="6"/>
                <c:pt idx="0">
                  <c:v>Asian</c:v>
                </c:pt>
                <c:pt idx="1">
                  <c:v>Black</c:v>
                </c:pt>
                <c:pt idx="2">
                  <c:v>Hispanic or Latino</c:v>
                </c:pt>
                <c:pt idx="3">
                  <c:v>White</c:v>
                </c:pt>
                <c:pt idx="4">
                  <c:v>American Indian/Alaska Native</c:v>
                </c:pt>
                <c:pt idx="5">
                  <c:v>Prefers not to identify</c:v>
                </c:pt>
              </c:strCache>
            </c:strRef>
          </c:cat>
          <c:val>
            <c:numRef>
              <c:f>Calculations!$J$461:$J$466</c:f>
              <c:numCache>
                <c:formatCode>General</c:formatCode>
                <c:ptCount val="6"/>
                <c:pt idx="0">
                  <c:v>#N/A</c:v>
                </c:pt>
                <c:pt idx="1">
                  <c:v>#N/A</c:v>
                </c:pt>
                <c:pt idx="2">
                  <c:v>#N/A</c:v>
                </c:pt>
                <c:pt idx="3">
                  <c:v>#N/A</c:v>
                </c:pt>
                <c:pt idx="4">
                  <c:v>#N/A</c:v>
                </c:pt>
                <c:pt idx="5">
                  <c:v>#N/A</c:v>
                </c:pt>
              </c:numCache>
            </c:numRef>
          </c:val>
          <c:extLst>
            <c:ext xmlns:c16="http://schemas.microsoft.com/office/drawing/2014/chart" uri="{C3380CC4-5D6E-409C-BE32-E72D297353CC}">
              <c16:uniqueId val="{0000000A-5A60-7B44-9F24-8C678D3C6165}"/>
            </c:ext>
          </c:extLst>
        </c:ser>
        <c:dLbls>
          <c:showLegendKey val="0"/>
          <c:showVal val="0"/>
          <c:showCatName val="0"/>
          <c:showSerName val="0"/>
          <c:showPercent val="0"/>
          <c:showBubbleSize val="0"/>
          <c:showLeaderLines val="0"/>
        </c:dLbls>
        <c:firstSliceAng val="0"/>
      </c:pieChart>
    </c:plotArea>
    <c:plotVisOnly val="1"/>
    <c:dispBlanksAs val="zero"/>
    <c:showDLblsOverMax val="1"/>
  </c:chart>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chemeClr val="dk1"/>
                </a:solidFill>
                <a:latin typeface="Trebuchet MS" panose="020B0703020202090204" pitchFamily="34" charset="0"/>
              </a:defRPr>
            </a:pPr>
            <a:r>
              <a:rPr lang="en-US" sz="1800" b="1" i="0">
                <a:solidFill>
                  <a:schemeClr val="dk1"/>
                </a:solidFill>
                <a:latin typeface="Trebuchet MS" panose="020B0703020202090204" pitchFamily="34" charset="0"/>
              </a:rPr>
              <a:t>Total Terminated Employee Race Profile in Q3</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8712-DE44-A7DC-FF06844E6E6D}"/>
              </c:ext>
            </c:extLst>
          </c:dPt>
          <c:dPt>
            <c:idx val="1"/>
            <c:bubble3D val="0"/>
            <c:spPr>
              <a:solidFill>
                <a:schemeClr val="accent2"/>
              </a:solidFill>
            </c:spPr>
            <c:extLst>
              <c:ext xmlns:c16="http://schemas.microsoft.com/office/drawing/2014/chart" uri="{C3380CC4-5D6E-409C-BE32-E72D297353CC}">
                <c16:uniqueId val="{00000003-8712-DE44-A7DC-FF06844E6E6D}"/>
              </c:ext>
            </c:extLst>
          </c:dPt>
          <c:dPt>
            <c:idx val="2"/>
            <c:bubble3D val="0"/>
            <c:spPr>
              <a:solidFill>
                <a:schemeClr val="accent3"/>
              </a:solidFill>
            </c:spPr>
            <c:extLst>
              <c:ext xmlns:c16="http://schemas.microsoft.com/office/drawing/2014/chart" uri="{C3380CC4-5D6E-409C-BE32-E72D297353CC}">
                <c16:uniqueId val="{00000005-8712-DE44-A7DC-FF06844E6E6D}"/>
              </c:ext>
            </c:extLst>
          </c:dPt>
          <c:dPt>
            <c:idx val="3"/>
            <c:bubble3D val="0"/>
            <c:spPr>
              <a:solidFill>
                <a:schemeClr val="accent4"/>
              </a:solidFill>
            </c:spPr>
            <c:extLst>
              <c:ext xmlns:c16="http://schemas.microsoft.com/office/drawing/2014/chart" uri="{C3380CC4-5D6E-409C-BE32-E72D297353CC}">
                <c16:uniqueId val="{00000007-8712-DE44-A7DC-FF06844E6E6D}"/>
              </c:ext>
            </c:extLst>
          </c:dPt>
          <c:dPt>
            <c:idx val="4"/>
            <c:bubble3D val="0"/>
            <c:spPr>
              <a:solidFill>
                <a:schemeClr val="accent5"/>
              </a:solidFill>
            </c:spPr>
            <c:extLst>
              <c:ext xmlns:c16="http://schemas.microsoft.com/office/drawing/2014/chart" uri="{C3380CC4-5D6E-409C-BE32-E72D297353CC}">
                <c16:uniqueId val="{00000009-8712-DE44-A7DC-FF06844E6E6D}"/>
              </c:ext>
            </c:extLst>
          </c:dPt>
          <c:dPt>
            <c:idx val="5"/>
            <c:bubble3D val="0"/>
            <c:spPr>
              <a:solidFill>
                <a:srgbClr val="FFD0D4"/>
              </a:solidFill>
            </c:spPr>
            <c:extLst>
              <c:ext xmlns:c16="http://schemas.microsoft.com/office/drawing/2014/chart" uri="{C3380CC4-5D6E-409C-BE32-E72D297353CC}">
                <c16:uniqueId val="{0000000A-F2FE-4B4A-B28C-4FE7613FDE71}"/>
              </c:ext>
            </c:extLst>
          </c:dPt>
          <c:dLbls>
            <c:dLbl>
              <c:idx val="0"/>
              <c:layout>
                <c:manualLayout>
                  <c:x val="-3.0589756044688266E-2"/>
                  <c:y val="4.819750197786861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712-DE44-A7DC-FF06844E6E6D}"/>
                </c:ext>
              </c:extLst>
            </c:dLbl>
            <c:dLbl>
              <c:idx val="1"/>
              <c:layout>
                <c:manualLayout>
                  <c:x val="-4.8943609671501423E-2"/>
                  <c:y val="0"/>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712-DE44-A7DC-FF06844E6E6D}"/>
                </c:ext>
              </c:extLst>
            </c:dLbl>
            <c:dLbl>
              <c:idx val="2"/>
              <c:layout>
                <c:manualLayout>
                  <c:x val="-6.3218829159022646E-2"/>
                  <c:y val="-5.783700237344234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712-DE44-A7DC-FF06844E6E6D}"/>
                </c:ext>
              </c:extLst>
            </c:dLbl>
            <c:dLbl>
              <c:idx val="3"/>
              <c:layout>
                <c:manualLayout>
                  <c:x val="2.0393170696458894E-3"/>
                  <c:y val="-5.462383557491788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712-DE44-A7DC-FF06844E6E6D}"/>
                </c:ext>
              </c:extLst>
            </c:dLbl>
            <c:dLbl>
              <c:idx val="4"/>
              <c:layout>
                <c:manualLayout>
                  <c:x val="4.4864975532209569E-2"/>
                  <c:y val="-5.8907377469899233E-17"/>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8712-DE44-A7DC-FF06844E6E6D}"/>
                </c:ext>
              </c:extLst>
            </c:dLbl>
            <c:dLbl>
              <c:idx val="5"/>
              <c:layout>
                <c:manualLayout>
                  <c:x val="6.5258146228668421E-2"/>
                  <c:y val="5.141066877639319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F2FE-4B4A-B28C-4FE7613FDE71}"/>
                </c:ext>
              </c:extLst>
            </c:dLbl>
            <c:spPr>
              <a:solidFill>
                <a:srgbClr val="FFFFFF"/>
              </a:solidFill>
              <a:ln>
                <a:solidFill>
                  <a:srgbClr val="31216B">
                    <a:lumMod val="65000"/>
                    <a:lumOff val="35000"/>
                  </a:srgbClr>
                </a:solidFill>
              </a:ln>
              <a:effectLst/>
            </c:spPr>
            <c:txPr>
              <a:bodyPr wrap="square" lIns="38100" tIns="19050" rIns="38100" bIns="19050" anchor="ctr">
                <a:spAutoFit/>
              </a:bodyPr>
              <a:lstStyle/>
              <a:p>
                <a:pPr>
                  <a:defRPr b="0" i="0">
                    <a:latin typeface="Trebuchet MS" panose="020B0703020202090204" pitchFamily="34" charset="0"/>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c15:spPr>
              </c:ext>
            </c:extLst>
          </c:dLbls>
          <c:cat>
            <c:strRef>
              <c:f>Calculations!$O$461:$O$466</c:f>
              <c:strCache>
                <c:ptCount val="6"/>
                <c:pt idx="0">
                  <c:v>Asian</c:v>
                </c:pt>
                <c:pt idx="1">
                  <c:v>Black</c:v>
                </c:pt>
                <c:pt idx="2">
                  <c:v>Hispanic or Latino</c:v>
                </c:pt>
                <c:pt idx="3">
                  <c:v>White</c:v>
                </c:pt>
                <c:pt idx="4">
                  <c:v>American Indian/Alaska Native</c:v>
                </c:pt>
                <c:pt idx="5">
                  <c:v>Prefers not to identify</c:v>
                </c:pt>
              </c:strCache>
            </c:strRef>
          </c:cat>
          <c:val>
            <c:numRef>
              <c:f>Calculations!$P$461:$P$466</c:f>
              <c:numCache>
                <c:formatCode>General</c:formatCode>
                <c:ptCount val="6"/>
                <c:pt idx="0">
                  <c:v>#N/A</c:v>
                </c:pt>
                <c:pt idx="1">
                  <c:v>#N/A</c:v>
                </c:pt>
                <c:pt idx="2">
                  <c:v>#N/A</c:v>
                </c:pt>
                <c:pt idx="3">
                  <c:v>#N/A</c:v>
                </c:pt>
                <c:pt idx="4">
                  <c:v>#N/A</c:v>
                </c:pt>
                <c:pt idx="5">
                  <c:v>#N/A</c:v>
                </c:pt>
              </c:numCache>
            </c:numRef>
          </c:val>
          <c:extLst>
            <c:ext xmlns:c16="http://schemas.microsoft.com/office/drawing/2014/chart" uri="{C3380CC4-5D6E-409C-BE32-E72D297353CC}">
              <c16:uniqueId val="{0000000A-8712-DE44-A7DC-FF06844E6E6D}"/>
            </c:ext>
          </c:extLst>
        </c:ser>
        <c:dLbls>
          <c:showLegendKey val="0"/>
          <c:showVal val="0"/>
          <c:showCatName val="0"/>
          <c:showSerName val="0"/>
          <c:showPercent val="0"/>
          <c:showBubbleSize val="0"/>
          <c:showLeaderLines val="0"/>
        </c:dLbls>
        <c:firstSliceAng val="0"/>
      </c:pieChart>
    </c:plotArea>
    <c:plotVisOnly val="1"/>
    <c:dispBlanksAs val="zero"/>
    <c:showDLblsOverMax val="1"/>
  </c:chart>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chemeClr val="dk1"/>
                </a:solidFill>
                <a:latin typeface="Trebuchet MS" panose="020B0703020202090204" pitchFamily="34" charset="0"/>
              </a:defRPr>
            </a:pPr>
            <a:r>
              <a:rPr lang="en-US" sz="1800" b="1" i="0">
                <a:solidFill>
                  <a:schemeClr val="dk1"/>
                </a:solidFill>
                <a:latin typeface="Trebuchet MS" panose="020B0703020202090204" pitchFamily="34" charset="0"/>
              </a:rPr>
              <a:t>Total New Employee Age Group Profile in Q3</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5425-0F4C-B334-A49B827A9B82}"/>
              </c:ext>
            </c:extLst>
          </c:dPt>
          <c:dPt>
            <c:idx val="1"/>
            <c:bubble3D val="0"/>
            <c:spPr>
              <a:solidFill>
                <a:schemeClr val="accent2"/>
              </a:solidFill>
            </c:spPr>
            <c:extLst>
              <c:ext xmlns:c16="http://schemas.microsoft.com/office/drawing/2014/chart" uri="{C3380CC4-5D6E-409C-BE32-E72D297353CC}">
                <c16:uniqueId val="{00000003-5425-0F4C-B334-A49B827A9B82}"/>
              </c:ext>
            </c:extLst>
          </c:dPt>
          <c:dPt>
            <c:idx val="2"/>
            <c:bubble3D val="0"/>
            <c:spPr>
              <a:solidFill>
                <a:schemeClr val="accent3"/>
              </a:solidFill>
            </c:spPr>
            <c:extLst>
              <c:ext xmlns:c16="http://schemas.microsoft.com/office/drawing/2014/chart" uri="{C3380CC4-5D6E-409C-BE32-E72D297353CC}">
                <c16:uniqueId val="{00000005-5425-0F4C-B334-A49B827A9B82}"/>
              </c:ext>
            </c:extLst>
          </c:dPt>
          <c:dPt>
            <c:idx val="3"/>
            <c:bubble3D val="0"/>
            <c:spPr>
              <a:solidFill>
                <a:schemeClr val="accent4"/>
              </a:solidFill>
            </c:spPr>
            <c:extLst>
              <c:ext xmlns:c16="http://schemas.microsoft.com/office/drawing/2014/chart" uri="{C3380CC4-5D6E-409C-BE32-E72D297353CC}">
                <c16:uniqueId val="{00000007-5425-0F4C-B334-A49B827A9B82}"/>
              </c:ext>
            </c:extLst>
          </c:dPt>
          <c:dPt>
            <c:idx val="4"/>
            <c:bubble3D val="0"/>
            <c:spPr>
              <a:solidFill>
                <a:schemeClr val="accent5"/>
              </a:solidFill>
            </c:spPr>
            <c:extLst>
              <c:ext xmlns:c16="http://schemas.microsoft.com/office/drawing/2014/chart" uri="{C3380CC4-5D6E-409C-BE32-E72D297353CC}">
                <c16:uniqueId val="{00000009-5425-0F4C-B334-A49B827A9B82}"/>
              </c:ext>
            </c:extLst>
          </c:dPt>
          <c:dPt>
            <c:idx val="5"/>
            <c:bubble3D val="0"/>
            <c:spPr>
              <a:solidFill>
                <a:srgbClr val="FFD0D4"/>
              </a:solidFill>
            </c:spPr>
            <c:extLst>
              <c:ext xmlns:c16="http://schemas.microsoft.com/office/drawing/2014/chart" uri="{C3380CC4-5D6E-409C-BE32-E72D297353CC}">
                <c16:uniqueId val="{0000000B-5425-0F4C-B334-A49B827A9B82}"/>
              </c:ext>
            </c:extLst>
          </c:dPt>
          <c:dPt>
            <c:idx val="6"/>
            <c:bubble3D val="0"/>
            <c:spPr>
              <a:solidFill>
                <a:schemeClr val="accent1"/>
              </a:solidFill>
            </c:spPr>
            <c:extLst>
              <c:ext xmlns:c16="http://schemas.microsoft.com/office/drawing/2014/chart" uri="{C3380CC4-5D6E-409C-BE32-E72D297353CC}">
                <c16:uniqueId val="{0000000D-5425-0F4C-B334-A49B827A9B82}"/>
              </c:ext>
            </c:extLst>
          </c:dPt>
          <c:dPt>
            <c:idx val="7"/>
            <c:bubble3D val="0"/>
            <c:spPr>
              <a:solidFill>
                <a:schemeClr val="accent2"/>
              </a:solidFill>
            </c:spPr>
            <c:extLst>
              <c:ext xmlns:c16="http://schemas.microsoft.com/office/drawing/2014/chart" uri="{C3380CC4-5D6E-409C-BE32-E72D297353CC}">
                <c16:uniqueId val="{0000000F-5425-0F4C-B334-A49B827A9B82}"/>
              </c:ext>
            </c:extLst>
          </c:dPt>
          <c:dPt>
            <c:idx val="8"/>
            <c:bubble3D val="0"/>
            <c:spPr>
              <a:solidFill>
                <a:schemeClr val="accent3"/>
              </a:solidFill>
            </c:spPr>
            <c:extLst>
              <c:ext xmlns:c16="http://schemas.microsoft.com/office/drawing/2014/chart" uri="{C3380CC4-5D6E-409C-BE32-E72D297353CC}">
                <c16:uniqueId val="{00000011-5425-0F4C-B334-A49B827A9B82}"/>
              </c:ext>
            </c:extLst>
          </c:dPt>
          <c:dLbls>
            <c:dLbl>
              <c:idx val="0"/>
              <c:layout>
                <c:manualLayout>
                  <c:x val="-3.4768582792949615E-2"/>
                  <c:y val="4.446845440857956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425-0F4C-B334-A49B827A9B82}"/>
                </c:ext>
              </c:extLst>
            </c:dLbl>
            <c:dLbl>
              <c:idx val="1"/>
              <c:layout>
                <c:manualLayout>
                  <c:x val="-3.6813793545476058E-2"/>
                  <c:y val="3.1763181720413972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425-0F4C-B334-A49B827A9B82}"/>
                </c:ext>
              </c:extLst>
            </c:dLbl>
            <c:dLbl>
              <c:idx val="2"/>
              <c:layout>
                <c:manualLayout>
                  <c:x val="2.6587739782843671E-2"/>
                  <c:y val="-8.795882480804827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425-0F4C-B334-A49B827A9B82}"/>
                </c:ext>
              </c:extLst>
            </c:dLbl>
            <c:dLbl>
              <c:idx val="3"/>
              <c:layout>
                <c:manualLayout>
                  <c:x val="1.6361686020211513E-2"/>
                  <c:y val="-4.446845440857967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425-0F4C-B334-A49B827A9B82}"/>
                </c:ext>
              </c:extLst>
            </c:dLbl>
            <c:dLbl>
              <c:idx val="4"/>
              <c:layout>
                <c:manualLayout>
                  <c:x val="3.4768582792949469E-2"/>
                  <c:y val="-3.493949989245537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5425-0F4C-B334-A49B827A9B82}"/>
                </c:ext>
              </c:extLst>
            </c:dLbl>
            <c:dLbl>
              <c:idx val="5"/>
              <c:layout>
                <c:manualLayout>
                  <c:x val="6.5446744080846053E-2"/>
                  <c:y val="1.221623945203714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5425-0F4C-B334-A49B827A9B82}"/>
                </c:ext>
              </c:extLst>
            </c:dLbl>
            <c:dLbl>
              <c:idx val="6"/>
              <c:layout>
                <c:manualLayout>
                  <c:x val="4.4994636555581627E-2"/>
                  <c:y val="1.270527268816558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5425-0F4C-B334-A49B827A9B82}"/>
                </c:ext>
              </c:extLst>
            </c:dLbl>
            <c:dLbl>
              <c:idx val="7"/>
              <c:layout>
                <c:manualLayout>
                  <c:x val="3.8859004298002348E-2"/>
                  <c:y val="4.446845440857956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5425-0F4C-B334-A49B827A9B82}"/>
                </c:ext>
              </c:extLst>
            </c:dLbl>
            <c:dLbl>
              <c:idx val="8"/>
              <c:layout>
                <c:manualLayout>
                  <c:x val="1.4316475267685074E-2"/>
                  <c:y val="5.082109075266235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5425-0F4C-B334-A49B827A9B82}"/>
                </c:ext>
              </c:extLst>
            </c:dLbl>
            <c:spPr>
              <a:solidFill>
                <a:srgbClr val="FFFFFF"/>
              </a:solidFill>
              <a:ln>
                <a:solidFill>
                  <a:srgbClr val="31216B">
                    <a:lumMod val="65000"/>
                    <a:lumOff val="35000"/>
                  </a:srgbClr>
                </a:solidFill>
              </a:ln>
              <a:effectLst/>
            </c:spPr>
            <c:txPr>
              <a:bodyPr wrap="square" lIns="38100" tIns="19050" rIns="38100" bIns="19050" anchor="ctr">
                <a:spAutoFit/>
              </a:bodyPr>
              <a:lstStyle/>
              <a:p>
                <a:pPr>
                  <a:defRPr b="0" i="0">
                    <a:latin typeface="Trebuchet MS" panose="020B0703020202090204" pitchFamily="34" charset="0"/>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c15:spPr>
              </c:ext>
            </c:extLst>
          </c:dLbls>
          <c:cat>
            <c:strRef>
              <c:f>Calculations!$I$493:$I$501</c:f>
              <c:strCache>
                <c:ptCount val="9"/>
                <c:pt idx="0">
                  <c:v>18-25</c:v>
                </c:pt>
                <c:pt idx="1">
                  <c:v>26-30</c:v>
                </c:pt>
                <c:pt idx="2">
                  <c:v>31-35</c:v>
                </c:pt>
                <c:pt idx="3">
                  <c:v>36-40</c:v>
                </c:pt>
                <c:pt idx="4">
                  <c:v>41-45</c:v>
                </c:pt>
                <c:pt idx="5">
                  <c:v>46-50</c:v>
                </c:pt>
                <c:pt idx="6">
                  <c:v>51-55</c:v>
                </c:pt>
                <c:pt idx="7">
                  <c:v>56-60</c:v>
                </c:pt>
                <c:pt idx="8">
                  <c:v>61-65</c:v>
                </c:pt>
              </c:strCache>
            </c:strRef>
          </c:cat>
          <c:val>
            <c:numRef>
              <c:f>Calculations!$J$493:$J$501</c:f>
              <c:numCache>
                <c:formatCode>General</c:formatCode>
                <c:ptCount val="9"/>
                <c:pt idx="0">
                  <c:v>#N/A</c:v>
                </c:pt>
                <c:pt idx="1">
                  <c:v>#N/A</c:v>
                </c:pt>
                <c:pt idx="2">
                  <c:v>#N/A</c:v>
                </c:pt>
                <c:pt idx="3">
                  <c:v>#N/A</c:v>
                </c:pt>
                <c:pt idx="4">
                  <c:v>#N/A</c:v>
                </c:pt>
                <c:pt idx="5">
                  <c:v>#N/A</c:v>
                </c:pt>
                <c:pt idx="6">
                  <c:v>#N/A</c:v>
                </c:pt>
                <c:pt idx="7">
                  <c:v>#N/A</c:v>
                </c:pt>
                <c:pt idx="8">
                  <c:v>#N/A</c:v>
                </c:pt>
              </c:numCache>
            </c:numRef>
          </c:val>
          <c:extLst>
            <c:ext xmlns:c16="http://schemas.microsoft.com/office/drawing/2014/chart" uri="{C3380CC4-5D6E-409C-BE32-E72D297353CC}">
              <c16:uniqueId val="{00000012-5425-0F4C-B334-A49B827A9B82}"/>
            </c:ext>
          </c:extLst>
        </c:ser>
        <c:dLbls>
          <c:showLegendKey val="0"/>
          <c:showVal val="0"/>
          <c:showCatName val="0"/>
          <c:showSerName val="0"/>
          <c:showPercent val="0"/>
          <c:showBubbleSize val="0"/>
          <c:showLeaderLines val="0"/>
        </c:dLbls>
        <c:firstSliceAng val="0"/>
      </c:pieChart>
    </c:plotArea>
    <c:plotVisOnly val="1"/>
    <c:dispBlanksAs val="zero"/>
    <c:showDLblsOverMax val="1"/>
  </c:chart>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chemeClr val="dk1"/>
                </a:solidFill>
                <a:latin typeface="Trebuchet MS" panose="020B0703020202090204" pitchFamily="34" charset="0"/>
              </a:defRPr>
            </a:pPr>
            <a:r>
              <a:rPr lang="en-US" sz="1800" b="1" i="0">
                <a:solidFill>
                  <a:schemeClr val="dk1"/>
                </a:solidFill>
                <a:latin typeface="Trebuchet MS" panose="020B0703020202090204" pitchFamily="34" charset="0"/>
              </a:rPr>
              <a:t>Total Terminated Employee Age Group Profile in Q3</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0E89-424E-B467-45A614EB2ABF}"/>
              </c:ext>
            </c:extLst>
          </c:dPt>
          <c:dPt>
            <c:idx val="1"/>
            <c:bubble3D val="0"/>
            <c:spPr>
              <a:solidFill>
                <a:schemeClr val="accent2"/>
              </a:solidFill>
            </c:spPr>
            <c:extLst>
              <c:ext xmlns:c16="http://schemas.microsoft.com/office/drawing/2014/chart" uri="{C3380CC4-5D6E-409C-BE32-E72D297353CC}">
                <c16:uniqueId val="{00000003-0E89-424E-B467-45A614EB2ABF}"/>
              </c:ext>
            </c:extLst>
          </c:dPt>
          <c:dPt>
            <c:idx val="2"/>
            <c:bubble3D val="0"/>
            <c:spPr>
              <a:solidFill>
                <a:schemeClr val="accent3"/>
              </a:solidFill>
            </c:spPr>
            <c:extLst>
              <c:ext xmlns:c16="http://schemas.microsoft.com/office/drawing/2014/chart" uri="{C3380CC4-5D6E-409C-BE32-E72D297353CC}">
                <c16:uniqueId val="{00000005-0E89-424E-B467-45A614EB2ABF}"/>
              </c:ext>
            </c:extLst>
          </c:dPt>
          <c:dPt>
            <c:idx val="3"/>
            <c:bubble3D val="0"/>
            <c:spPr>
              <a:solidFill>
                <a:schemeClr val="accent4"/>
              </a:solidFill>
            </c:spPr>
            <c:extLst>
              <c:ext xmlns:c16="http://schemas.microsoft.com/office/drawing/2014/chart" uri="{C3380CC4-5D6E-409C-BE32-E72D297353CC}">
                <c16:uniqueId val="{00000007-0E89-424E-B467-45A614EB2ABF}"/>
              </c:ext>
            </c:extLst>
          </c:dPt>
          <c:dPt>
            <c:idx val="4"/>
            <c:bubble3D val="0"/>
            <c:spPr>
              <a:solidFill>
                <a:schemeClr val="accent5"/>
              </a:solidFill>
            </c:spPr>
            <c:extLst>
              <c:ext xmlns:c16="http://schemas.microsoft.com/office/drawing/2014/chart" uri="{C3380CC4-5D6E-409C-BE32-E72D297353CC}">
                <c16:uniqueId val="{00000009-0E89-424E-B467-45A614EB2ABF}"/>
              </c:ext>
            </c:extLst>
          </c:dPt>
          <c:dPt>
            <c:idx val="5"/>
            <c:bubble3D val="0"/>
            <c:spPr>
              <a:solidFill>
                <a:schemeClr val="accent6"/>
              </a:solidFill>
            </c:spPr>
            <c:extLst>
              <c:ext xmlns:c16="http://schemas.microsoft.com/office/drawing/2014/chart" uri="{C3380CC4-5D6E-409C-BE32-E72D297353CC}">
                <c16:uniqueId val="{0000000B-0E89-424E-B467-45A614EB2ABF}"/>
              </c:ext>
            </c:extLst>
          </c:dPt>
          <c:dPt>
            <c:idx val="6"/>
            <c:bubble3D val="0"/>
            <c:spPr>
              <a:solidFill>
                <a:schemeClr val="accent1"/>
              </a:solidFill>
            </c:spPr>
            <c:extLst>
              <c:ext xmlns:c16="http://schemas.microsoft.com/office/drawing/2014/chart" uri="{C3380CC4-5D6E-409C-BE32-E72D297353CC}">
                <c16:uniqueId val="{0000000D-0E89-424E-B467-45A614EB2ABF}"/>
              </c:ext>
            </c:extLst>
          </c:dPt>
          <c:dPt>
            <c:idx val="7"/>
            <c:bubble3D val="0"/>
            <c:spPr>
              <a:solidFill>
                <a:schemeClr val="accent2"/>
              </a:solidFill>
            </c:spPr>
            <c:extLst>
              <c:ext xmlns:c16="http://schemas.microsoft.com/office/drawing/2014/chart" uri="{C3380CC4-5D6E-409C-BE32-E72D297353CC}">
                <c16:uniqueId val="{0000000F-0E89-424E-B467-45A614EB2ABF}"/>
              </c:ext>
            </c:extLst>
          </c:dPt>
          <c:dPt>
            <c:idx val="8"/>
            <c:bubble3D val="0"/>
            <c:spPr>
              <a:solidFill>
                <a:schemeClr val="accent3"/>
              </a:solidFill>
            </c:spPr>
            <c:extLst>
              <c:ext xmlns:c16="http://schemas.microsoft.com/office/drawing/2014/chart" uri="{C3380CC4-5D6E-409C-BE32-E72D297353CC}">
                <c16:uniqueId val="{00000011-0E89-424E-B467-45A614EB2ABF}"/>
              </c:ext>
            </c:extLst>
          </c:dPt>
          <c:dLbls>
            <c:dLbl>
              <c:idx val="0"/>
              <c:layout>
                <c:manualLayout>
                  <c:x val="-3.0678161287896664E-2"/>
                  <c:y val="5.129165617021961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E89-424E-B467-45A614EB2ABF}"/>
                </c:ext>
              </c:extLst>
            </c:dLbl>
            <c:dLbl>
              <c:idx val="1"/>
              <c:layout>
                <c:manualLayout>
                  <c:x val="-4.0904215050528783E-3"/>
                  <c:y val="-3.43581928918629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E89-424E-B467-45A614EB2ABF}"/>
                </c:ext>
              </c:extLst>
            </c:dLbl>
            <c:dLbl>
              <c:idx val="2"/>
              <c:layout>
                <c:manualLayout>
                  <c:x val="-5.3175479565687495E-2"/>
                  <c:y val="-3.2057285106387276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E89-424E-B467-45A614EB2ABF}"/>
                </c:ext>
              </c:extLst>
            </c:dLbl>
            <c:dLbl>
              <c:idx val="3"/>
              <c:layout>
                <c:manualLayout>
                  <c:x val="-3.6813793545475829E-2"/>
                  <c:y val="-3.846874212766473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E89-424E-B467-45A614EB2ABF}"/>
                </c:ext>
              </c:extLst>
            </c:dLbl>
            <c:dLbl>
              <c:idx val="4"/>
              <c:layout>
                <c:manualLayout>
                  <c:x val="-2.454252903031727E-2"/>
                  <c:y val="-5.12916561702197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0E89-424E-B467-45A614EB2ABF}"/>
                </c:ext>
              </c:extLst>
            </c:dLbl>
            <c:dLbl>
              <c:idx val="5"/>
              <c:layout>
                <c:manualLayout>
                  <c:x val="2.2497318277790754E-2"/>
                  <c:y val="-4.808592765958102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0E89-424E-B467-45A614EB2ABF}"/>
                </c:ext>
              </c:extLst>
            </c:dLbl>
            <c:dLbl>
              <c:idx val="6"/>
              <c:layout>
                <c:manualLayout>
                  <c:x val="3.8859004298002306E-2"/>
                  <c:y val="-3.846874212766485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0E89-424E-B467-45A614EB2ABF}"/>
                </c:ext>
              </c:extLst>
            </c:dLbl>
            <c:dLbl>
              <c:idx val="7"/>
              <c:layout>
                <c:manualLayout>
                  <c:x val="3.8859004298002348E-2"/>
                  <c:y val="1.602864255319363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0E89-424E-B467-45A614EB2ABF}"/>
                </c:ext>
              </c:extLst>
            </c:dLbl>
            <c:dLbl>
              <c:idx val="8"/>
              <c:layout>
                <c:manualLayout>
                  <c:x val="3.6813793545475905E-2"/>
                  <c:y val="4.488019914894215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0E89-424E-B467-45A614EB2ABF}"/>
                </c:ext>
              </c:extLst>
            </c:dLbl>
            <c:spPr>
              <a:solidFill>
                <a:srgbClr val="FFFFFF"/>
              </a:solidFill>
              <a:ln>
                <a:solidFill>
                  <a:srgbClr val="31216B">
                    <a:lumMod val="65000"/>
                    <a:lumOff val="35000"/>
                  </a:srgbClr>
                </a:solidFill>
              </a:ln>
              <a:effectLst/>
            </c:spPr>
            <c:txPr>
              <a:bodyPr wrap="square" lIns="38100" tIns="19050" rIns="38100" bIns="19050" anchor="ctr">
                <a:spAutoFit/>
              </a:bodyPr>
              <a:lstStyle/>
              <a:p>
                <a:pPr>
                  <a:defRPr b="0" i="0">
                    <a:latin typeface="Trebuchet MS" panose="020B0703020202090204" pitchFamily="34" charset="0"/>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c15:spPr>
              </c:ext>
            </c:extLst>
          </c:dLbls>
          <c:cat>
            <c:strRef>
              <c:f>Calculations!$O$493:$O$501</c:f>
              <c:strCache>
                <c:ptCount val="9"/>
                <c:pt idx="0">
                  <c:v>18-25</c:v>
                </c:pt>
                <c:pt idx="1">
                  <c:v>26-30</c:v>
                </c:pt>
                <c:pt idx="2">
                  <c:v>31-35</c:v>
                </c:pt>
                <c:pt idx="3">
                  <c:v>36-40</c:v>
                </c:pt>
                <c:pt idx="4">
                  <c:v>41-45</c:v>
                </c:pt>
                <c:pt idx="5">
                  <c:v>46-50</c:v>
                </c:pt>
                <c:pt idx="6">
                  <c:v>51-55</c:v>
                </c:pt>
                <c:pt idx="7">
                  <c:v>56-60</c:v>
                </c:pt>
                <c:pt idx="8">
                  <c:v>61-65</c:v>
                </c:pt>
              </c:strCache>
            </c:strRef>
          </c:cat>
          <c:val>
            <c:numRef>
              <c:f>Calculations!$P$493:$P$501</c:f>
              <c:numCache>
                <c:formatCode>General</c:formatCode>
                <c:ptCount val="9"/>
                <c:pt idx="0">
                  <c:v>#N/A</c:v>
                </c:pt>
                <c:pt idx="1">
                  <c:v>#N/A</c:v>
                </c:pt>
                <c:pt idx="2">
                  <c:v>#N/A</c:v>
                </c:pt>
                <c:pt idx="3">
                  <c:v>#N/A</c:v>
                </c:pt>
                <c:pt idx="4">
                  <c:v>#N/A</c:v>
                </c:pt>
                <c:pt idx="5">
                  <c:v>#N/A</c:v>
                </c:pt>
                <c:pt idx="6">
                  <c:v>#N/A</c:v>
                </c:pt>
                <c:pt idx="7">
                  <c:v>#N/A</c:v>
                </c:pt>
                <c:pt idx="8">
                  <c:v>#N/A</c:v>
                </c:pt>
              </c:numCache>
            </c:numRef>
          </c:val>
          <c:extLst>
            <c:ext xmlns:c16="http://schemas.microsoft.com/office/drawing/2014/chart" uri="{C3380CC4-5D6E-409C-BE32-E72D297353CC}">
              <c16:uniqueId val="{00000012-0E89-424E-B467-45A614EB2ABF}"/>
            </c:ext>
          </c:extLst>
        </c:ser>
        <c:dLbls>
          <c:showLegendKey val="0"/>
          <c:showVal val="0"/>
          <c:showCatName val="0"/>
          <c:showSerName val="0"/>
          <c:showPercent val="0"/>
          <c:showBubbleSize val="0"/>
          <c:showLeaderLines val="0"/>
        </c:dLbls>
        <c:firstSliceAng val="0"/>
      </c:pieChart>
    </c:plotArea>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chemeClr val="dk1"/>
                </a:solidFill>
                <a:latin typeface="Trebuchet MS" panose="020B0703020202090204" pitchFamily="34" charset="0"/>
              </a:defRPr>
            </a:pPr>
            <a:r>
              <a:rPr lang="en-US" sz="1800" b="1" i="0">
                <a:solidFill>
                  <a:schemeClr val="dk1"/>
                </a:solidFill>
                <a:latin typeface="Trebuchet MS" panose="020B0703020202090204" pitchFamily="34" charset="0"/>
              </a:rPr>
              <a:t>Employment Type</a:t>
            </a:r>
          </a:p>
        </c:rich>
      </c:tx>
      <c:overlay val="0"/>
    </c:title>
    <c:autoTitleDeleted val="0"/>
    <c:plotArea>
      <c:layout/>
      <c:barChart>
        <c:barDir val="col"/>
        <c:grouping val="clustered"/>
        <c:varyColors val="1"/>
        <c:ser>
          <c:idx val="0"/>
          <c:order val="0"/>
          <c:spPr>
            <a:solidFill>
              <a:srgbClr val="B0E7FF"/>
            </a:solidFill>
            <a:ln cmpd="sng">
              <a:noFill/>
            </a:ln>
          </c:spPr>
          <c:invertIfNegative val="1"/>
          <c:dLbls>
            <c:spPr>
              <a:noFill/>
              <a:ln>
                <a:noFill/>
              </a:ln>
              <a:effectLst/>
            </c:spPr>
            <c:txPr>
              <a:bodyPr/>
              <a:lstStyle/>
              <a:p>
                <a:pPr lvl="0">
                  <a:defRPr sz="1200" b="0" i="0">
                    <a:solidFill>
                      <a:srgbClr val="31216B"/>
                    </a:solidFill>
                    <a:latin typeface="Trebuchet MS" panose="020B070302020209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Calculations!$F$28:$F$35</c:f>
              <c:strCache>
                <c:ptCount val="8"/>
                <c:pt idx="0">
                  <c:v>Full time</c:v>
                </c:pt>
                <c:pt idx="1">
                  <c:v>Part time</c:v>
                </c:pt>
                <c:pt idx="2">
                  <c:v>Casual</c:v>
                </c:pt>
                <c:pt idx="3">
                  <c:v>Fixed term</c:v>
                </c:pt>
                <c:pt idx="4">
                  <c:v>Shift workers</c:v>
                </c:pt>
                <c:pt idx="5">
                  <c:v>Daily hire and weekly hire</c:v>
                </c:pt>
                <c:pt idx="6">
                  <c:v>Probation</c:v>
                </c:pt>
                <c:pt idx="7">
                  <c:v>Apprentices and trainees</c:v>
                </c:pt>
              </c:strCache>
            </c:strRef>
          </c:cat>
          <c:val>
            <c:numRef>
              <c:f>Calculations!$G$28:$G$35</c:f>
              <c:numCache>
                <c:formatCode>General</c:formatCode>
                <c:ptCount val="8"/>
                <c:pt idx="0">
                  <c:v>17</c:v>
                </c:pt>
                <c:pt idx="1">
                  <c:v>4</c:v>
                </c:pt>
                <c:pt idx="2">
                  <c:v>0</c:v>
                </c:pt>
                <c:pt idx="3">
                  <c:v>0</c:v>
                </c:pt>
                <c:pt idx="4">
                  <c:v>0</c:v>
                </c:pt>
                <c:pt idx="5">
                  <c:v>0</c:v>
                </c:pt>
                <c:pt idx="6">
                  <c:v>0</c:v>
                </c:pt>
                <c:pt idx="7">
                  <c:v>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0-F0B3-4F42-AE07-70335E8FB8BA}"/>
            </c:ext>
          </c:extLst>
        </c:ser>
        <c:dLbls>
          <c:showLegendKey val="0"/>
          <c:showVal val="0"/>
          <c:showCatName val="0"/>
          <c:showSerName val="0"/>
          <c:showPercent val="0"/>
          <c:showBubbleSize val="0"/>
        </c:dLbls>
        <c:gapWidth val="150"/>
        <c:axId val="1966530030"/>
        <c:axId val="1958670852"/>
      </c:barChart>
      <c:catAx>
        <c:axId val="1966530030"/>
        <c:scaling>
          <c:orientation val="minMax"/>
        </c:scaling>
        <c:delete val="0"/>
        <c:axPos val="b"/>
        <c:title>
          <c:tx>
            <c:rich>
              <a:bodyPr/>
              <a:lstStyle/>
              <a:p>
                <a:pPr lvl="0">
                  <a:defRPr b="0">
                    <a:solidFill>
                      <a:srgbClr val="31216B"/>
                    </a:solidFill>
                    <a:latin typeface="+mn-lt"/>
                  </a:defRPr>
                </a:pPr>
                <a:endParaRPr lang="en-NL"/>
              </a:p>
            </c:rich>
          </c:tx>
          <c:overlay val="0"/>
        </c:title>
        <c:numFmt formatCode="General" sourceLinked="1"/>
        <c:majorTickMark val="none"/>
        <c:minorTickMark val="none"/>
        <c:tickLblPos val="nextTo"/>
        <c:txPr>
          <a:bodyPr/>
          <a:lstStyle/>
          <a:p>
            <a:pPr lvl="0">
              <a:defRPr sz="1200" b="0" i="0">
                <a:solidFill>
                  <a:srgbClr val="002060"/>
                </a:solidFill>
                <a:latin typeface="Trebuchet MS" panose="020B0703020202090204" pitchFamily="34" charset="0"/>
              </a:defRPr>
            </a:pPr>
            <a:endParaRPr lang="en-US"/>
          </a:p>
        </c:txPr>
        <c:crossAx val="1958670852"/>
        <c:crosses val="autoZero"/>
        <c:auto val="1"/>
        <c:lblAlgn val="ctr"/>
        <c:lblOffset val="100"/>
        <c:noMultiLvlLbl val="1"/>
      </c:catAx>
      <c:valAx>
        <c:axId val="1958670852"/>
        <c:scaling>
          <c:orientation val="minMax"/>
        </c:scaling>
        <c:delete val="1"/>
        <c:axPos val="l"/>
        <c:title>
          <c:tx>
            <c:rich>
              <a:bodyPr/>
              <a:lstStyle/>
              <a:p>
                <a:pPr lvl="0">
                  <a:defRPr b="0">
                    <a:solidFill>
                      <a:srgbClr val="31216B"/>
                    </a:solidFill>
                    <a:latin typeface="+mn-lt"/>
                  </a:defRPr>
                </a:pPr>
                <a:endParaRPr lang="en-NL"/>
              </a:p>
            </c:rich>
          </c:tx>
          <c:overlay val="0"/>
        </c:title>
        <c:numFmt formatCode="General" sourceLinked="1"/>
        <c:majorTickMark val="none"/>
        <c:minorTickMark val="none"/>
        <c:tickLblPos val="nextTo"/>
        <c:crossAx val="1966530030"/>
        <c:crosses val="autoZero"/>
        <c:crossBetween val="between"/>
      </c:valAx>
    </c:plotArea>
    <c:plotVisOnly val="1"/>
    <c:dispBlanksAs val="zero"/>
    <c:showDLblsOverMax val="1"/>
  </c:chart>
  <c:spPr>
    <a:solidFill>
      <a:schemeClr val="lt1"/>
    </a:solidFill>
  </c:sp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chemeClr val="dk1"/>
                </a:solidFill>
                <a:latin typeface="Trebuchet MS" panose="020B0703020202090204" pitchFamily="34" charset="0"/>
              </a:defRPr>
            </a:pPr>
            <a:r>
              <a:rPr lang="en-US" sz="1800" b="1" i="0">
                <a:solidFill>
                  <a:schemeClr val="dk1"/>
                </a:solidFill>
                <a:latin typeface="Trebuchet MS" panose="020B0703020202090204" pitchFamily="34" charset="0"/>
              </a:rPr>
              <a:t>New Employee per Position in Q3</a:t>
            </a:r>
          </a:p>
        </c:rich>
      </c:tx>
      <c:overlay val="0"/>
    </c:title>
    <c:autoTitleDeleted val="0"/>
    <c:plotArea>
      <c:layout/>
      <c:barChart>
        <c:barDir val="col"/>
        <c:grouping val="clustered"/>
        <c:varyColors val="1"/>
        <c:ser>
          <c:idx val="0"/>
          <c:order val="0"/>
          <c:spPr>
            <a:solidFill>
              <a:srgbClr val="B0E7FF"/>
            </a:solidFill>
            <a:ln cmpd="sng">
              <a:noFill/>
            </a:ln>
          </c:spPr>
          <c:invertIfNegative val="1"/>
          <c:dLbls>
            <c:spPr>
              <a:noFill/>
              <a:ln>
                <a:noFill/>
              </a:ln>
              <a:effectLst/>
            </c:spPr>
            <c:txPr>
              <a:bodyPr/>
              <a:lstStyle/>
              <a:p>
                <a:pPr lvl="0">
                  <a:defRPr sz="800" b="0" i="0">
                    <a:solidFill>
                      <a:srgbClr val="31216B"/>
                    </a:solidFill>
                    <a:latin typeface="Trebuchet MS" panose="020B070302020209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Calculations!$G$241:$G$290</c:f>
              <c:strCache>
                <c:ptCount val="50"/>
                <c:pt idx="0">
                  <c:v>Position 1</c:v>
                </c:pt>
                <c:pt idx="1">
                  <c:v>Position 2</c:v>
                </c:pt>
                <c:pt idx="2">
                  <c:v>Position 3</c:v>
                </c:pt>
                <c:pt idx="3">
                  <c:v>Position 4</c:v>
                </c:pt>
                <c:pt idx="4">
                  <c:v>Position 5</c:v>
                </c:pt>
                <c:pt idx="5">
                  <c:v>Position 6</c:v>
                </c:pt>
                <c:pt idx="6">
                  <c:v>Position 7</c:v>
                </c:pt>
                <c:pt idx="7">
                  <c:v>Position 8</c:v>
                </c:pt>
                <c:pt idx="8">
                  <c:v>Position 9</c:v>
                </c:pt>
                <c:pt idx="9">
                  <c:v>Position 10</c:v>
                </c:pt>
                <c:pt idx="10">
                  <c:v>Position 11</c:v>
                </c:pt>
                <c:pt idx="11">
                  <c:v>Position 12</c:v>
                </c:pt>
                <c:pt idx="12">
                  <c:v>Position 13</c:v>
                </c:pt>
                <c:pt idx="13">
                  <c:v>Position 14</c:v>
                </c:pt>
                <c:pt idx="14">
                  <c:v>Position 15</c:v>
                </c:pt>
                <c:pt idx="15">
                  <c:v>Position 16</c:v>
                </c:pt>
                <c:pt idx="16">
                  <c:v>Position 17</c:v>
                </c:pt>
                <c:pt idx="17">
                  <c:v>Position 18</c:v>
                </c:pt>
                <c:pt idx="18">
                  <c:v>Position 19</c:v>
                </c:pt>
                <c:pt idx="19">
                  <c:v>Position 20</c:v>
                </c:pt>
                <c:pt idx="20">
                  <c:v>Position 21</c:v>
                </c:pt>
                <c:pt idx="21">
                  <c:v>Position 22</c:v>
                </c:pt>
                <c:pt idx="22">
                  <c:v>Position 23</c:v>
                </c:pt>
                <c:pt idx="23">
                  <c:v>Position 24</c:v>
                </c:pt>
                <c:pt idx="24">
                  <c:v>Position 25</c:v>
                </c:pt>
                <c:pt idx="25">
                  <c:v>Position 26</c:v>
                </c:pt>
                <c:pt idx="26">
                  <c:v>Position 27</c:v>
                </c:pt>
                <c:pt idx="27">
                  <c:v>Position 28</c:v>
                </c:pt>
                <c:pt idx="28">
                  <c:v>Position 29</c:v>
                </c:pt>
                <c:pt idx="29">
                  <c:v>Position 30</c:v>
                </c:pt>
                <c:pt idx="30">
                  <c:v>Position 31</c:v>
                </c:pt>
                <c:pt idx="31">
                  <c:v>Position 32</c:v>
                </c:pt>
                <c:pt idx="32">
                  <c:v>Position 33</c:v>
                </c:pt>
                <c:pt idx="33">
                  <c:v>Position 34</c:v>
                </c:pt>
                <c:pt idx="34">
                  <c:v>Position 35</c:v>
                </c:pt>
                <c:pt idx="35">
                  <c:v>Position 36</c:v>
                </c:pt>
                <c:pt idx="36">
                  <c:v>Position 37</c:v>
                </c:pt>
                <c:pt idx="37">
                  <c:v>Position 38</c:v>
                </c:pt>
                <c:pt idx="38">
                  <c:v>Position 39</c:v>
                </c:pt>
                <c:pt idx="39">
                  <c:v>Position 40</c:v>
                </c:pt>
                <c:pt idx="40">
                  <c:v>Position 41</c:v>
                </c:pt>
                <c:pt idx="41">
                  <c:v>Position 42</c:v>
                </c:pt>
                <c:pt idx="42">
                  <c:v>Position 43</c:v>
                </c:pt>
                <c:pt idx="43">
                  <c:v>Position 44</c:v>
                </c:pt>
                <c:pt idx="44">
                  <c:v>Position 45</c:v>
                </c:pt>
                <c:pt idx="45">
                  <c:v>Position 46</c:v>
                </c:pt>
                <c:pt idx="46">
                  <c:v>Position 47</c:v>
                </c:pt>
                <c:pt idx="47">
                  <c:v>Position 48</c:v>
                </c:pt>
                <c:pt idx="48">
                  <c:v>Position 49</c:v>
                </c:pt>
                <c:pt idx="49">
                  <c:v>Position 50</c:v>
                </c:pt>
              </c:strCache>
            </c:strRef>
          </c:cat>
          <c:val>
            <c:numRef>
              <c:f>Calculations!$H$241:$H$290</c:f>
              <c:numCache>
                <c:formatCode>General</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0-B173-B842-9988-B22457E6BE19}"/>
            </c:ext>
          </c:extLst>
        </c:ser>
        <c:dLbls>
          <c:showLegendKey val="0"/>
          <c:showVal val="0"/>
          <c:showCatName val="0"/>
          <c:showSerName val="0"/>
          <c:showPercent val="0"/>
          <c:showBubbleSize val="0"/>
        </c:dLbls>
        <c:gapWidth val="150"/>
        <c:axId val="1604849663"/>
        <c:axId val="360809818"/>
      </c:barChart>
      <c:catAx>
        <c:axId val="1604849663"/>
        <c:scaling>
          <c:orientation val="minMax"/>
        </c:scaling>
        <c:delete val="0"/>
        <c:axPos val="b"/>
        <c:title>
          <c:tx>
            <c:rich>
              <a:bodyPr/>
              <a:lstStyle/>
              <a:p>
                <a:pPr lvl="0">
                  <a:defRPr b="0">
                    <a:solidFill>
                      <a:srgbClr val="31216B"/>
                    </a:solidFill>
                    <a:latin typeface="+mn-lt"/>
                  </a:defRPr>
                </a:pPr>
                <a:endParaRPr lang="en-NL"/>
              </a:p>
            </c:rich>
          </c:tx>
          <c:overlay val="0"/>
        </c:title>
        <c:numFmt formatCode="General" sourceLinked="1"/>
        <c:majorTickMark val="none"/>
        <c:minorTickMark val="none"/>
        <c:tickLblPos val="nextTo"/>
        <c:txPr>
          <a:bodyPr/>
          <a:lstStyle/>
          <a:p>
            <a:pPr lvl="0">
              <a:defRPr sz="1200" b="0" i="0">
                <a:solidFill>
                  <a:schemeClr val="dk1"/>
                </a:solidFill>
                <a:latin typeface="Trebuchet MS" panose="020B0703020202090204" pitchFamily="34" charset="0"/>
              </a:defRPr>
            </a:pPr>
            <a:endParaRPr lang="en-US"/>
          </a:p>
        </c:txPr>
        <c:crossAx val="360809818"/>
        <c:crosses val="autoZero"/>
        <c:auto val="1"/>
        <c:lblAlgn val="ctr"/>
        <c:lblOffset val="100"/>
        <c:noMultiLvlLbl val="1"/>
      </c:catAx>
      <c:valAx>
        <c:axId val="360809818"/>
        <c:scaling>
          <c:orientation val="minMax"/>
        </c:scaling>
        <c:delete val="0"/>
        <c:axPos val="l"/>
        <c:title>
          <c:tx>
            <c:rich>
              <a:bodyPr/>
              <a:lstStyle/>
              <a:p>
                <a:pPr lvl="0">
                  <a:defRPr b="0">
                    <a:solidFill>
                      <a:srgbClr val="31216B"/>
                    </a:solidFill>
                    <a:latin typeface="+mn-lt"/>
                  </a:defRPr>
                </a:pPr>
                <a:endParaRPr lang="en-NL"/>
              </a:p>
            </c:rich>
          </c:tx>
          <c:overlay val="0"/>
        </c:title>
        <c:numFmt formatCode="General" sourceLinked="1"/>
        <c:majorTickMark val="none"/>
        <c:minorTickMark val="none"/>
        <c:tickLblPos val="nextTo"/>
        <c:spPr>
          <a:ln/>
        </c:spPr>
        <c:txPr>
          <a:bodyPr/>
          <a:lstStyle/>
          <a:p>
            <a:pPr lvl="0">
              <a:defRPr b="0" i="0">
                <a:solidFill>
                  <a:schemeClr val="dk1"/>
                </a:solidFill>
                <a:latin typeface="+mn-lt"/>
              </a:defRPr>
            </a:pPr>
            <a:endParaRPr lang="en-US"/>
          </a:p>
        </c:txPr>
        <c:crossAx val="1604849663"/>
        <c:crosses val="autoZero"/>
        <c:crossBetween val="between"/>
      </c:valAx>
    </c:plotArea>
    <c:plotVisOnly val="1"/>
    <c:dispBlanksAs val="zero"/>
    <c:showDLblsOverMax val="1"/>
  </c:chart>
  <c:spPr>
    <a:solidFill>
      <a:schemeClr val="lt1"/>
    </a:solidFill>
  </c:sp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chemeClr val="dk1"/>
                </a:solidFill>
                <a:latin typeface="Trebuchet MS" panose="020B0703020202090204" pitchFamily="34" charset="0"/>
              </a:defRPr>
            </a:pPr>
            <a:r>
              <a:rPr lang="en-US" sz="1800" b="1" i="0">
                <a:solidFill>
                  <a:schemeClr val="dk1"/>
                </a:solidFill>
                <a:latin typeface="Trebuchet MS" panose="020B0703020202090204" pitchFamily="34" charset="0"/>
              </a:rPr>
              <a:t>Terminated Employee per Position in Q3</a:t>
            </a:r>
          </a:p>
        </c:rich>
      </c:tx>
      <c:overlay val="0"/>
    </c:title>
    <c:autoTitleDeleted val="0"/>
    <c:plotArea>
      <c:layout/>
      <c:barChart>
        <c:barDir val="col"/>
        <c:grouping val="clustered"/>
        <c:varyColors val="1"/>
        <c:ser>
          <c:idx val="0"/>
          <c:order val="0"/>
          <c:spPr>
            <a:solidFill>
              <a:srgbClr val="B0E7FF"/>
            </a:solidFill>
            <a:ln cmpd="sng">
              <a:noFill/>
            </a:ln>
          </c:spPr>
          <c:invertIfNegative val="1"/>
          <c:dLbls>
            <c:spPr>
              <a:noFill/>
              <a:ln>
                <a:noFill/>
              </a:ln>
              <a:effectLst/>
            </c:spPr>
            <c:txPr>
              <a:bodyPr/>
              <a:lstStyle/>
              <a:p>
                <a:pPr lvl="0">
                  <a:defRPr sz="800" b="0" i="0">
                    <a:solidFill>
                      <a:srgbClr val="31216B"/>
                    </a:solidFill>
                    <a:latin typeface="Trebuchet MS" panose="020B070302020209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Calculations!$M$241:$M$290</c:f>
              <c:strCache>
                <c:ptCount val="50"/>
                <c:pt idx="0">
                  <c:v>Position 1</c:v>
                </c:pt>
                <c:pt idx="1">
                  <c:v>Position 2</c:v>
                </c:pt>
                <c:pt idx="2">
                  <c:v>Position 3</c:v>
                </c:pt>
                <c:pt idx="3">
                  <c:v>Position 4</c:v>
                </c:pt>
                <c:pt idx="4">
                  <c:v>Position 5</c:v>
                </c:pt>
                <c:pt idx="5">
                  <c:v>Position 6</c:v>
                </c:pt>
                <c:pt idx="6">
                  <c:v>Position 7</c:v>
                </c:pt>
                <c:pt idx="7">
                  <c:v>Position 8</c:v>
                </c:pt>
                <c:pt idx="8">
                  <c:v>Position 9</c:v>
                </c:pt>
                <c:pt idx="9">
                  <c:v>Position 10</c:v>
                </c:pt>
                <c:pt idx="10">
                  <c:v>Position 11</c:v>
                </c:pt>
                <c:pt idx="11">
                  <c:v>Position 12</c:v>
                </c:pt>
                <c:pt idx="12">
                  <c:v>Position 13</c:v>
                </c:pt>
                <c:pt idx="13">
                  <c:v>Position 14</c:v>
                </c:pt>
                <c:pt idx="14">
                  <c:v>Position 15</c:v>
                </c:pt>
                <c:pt idx="15">
                  <c:v>Position 16</c:v>
                </c:pt>
                <c:pt idx="16">
                  <c:v>Position 17</c:v>
                </c:pt>
                <c:pt idx="17">
                  <c:v>Position 18</c:v>
                </c:pt>
                <c:pt idx="18">
                  <c:v>Position 19</c:v>
                </c:pt>
                <c:pt idx="19">
                  <c:v>Position 20</c:v>
                </c:pt>
                <c:pt idx="20">
                  <c:v>Position 21</c:v>
                </c:pt>
                <c:pt idx="21">
                  <c:v>Position 22</c:v>
                </c:pt>
                <c:pt idx="22">
                  <c:v>Position 23</c:v>
                </c:pt>
                <c:pt idx="23">
                  <c:v>Position 24</c:v>
                </c:pt>
                <c:pt idx="24">
                  <c:v>Position 25</c:v>
                </c:pt>
                <c:pt idx="25">
                  <c:v>Position 26</c:v>
                </c:pt>
                <c:pt idx="26">
                  <c:v>Position 27</c:v>
                </c:pt>
                <c:pt idx="27">
                  <c:v>Position 28</c:v>
                </c:pt>
                <c:pt idx="28">
                  <c:v>Position 29</c:v>
                </c:pt>
                <c:pt idx="29">
                  <c:v>Position 30</c:v>
                </c:pt>
                <c:pt idx="30">
                  <c:v>Position 31</c:v>
                </c:pt>
                <c:pt idx="31">
                  <c:v>Position 32</c:v>
                </c:pt>
                <c:pt idx="32">
                  <c:v>Position 33</c:v>
                </c:pt>
                <c:pt idx="33">
                  <c:v>Position 34</c:v>
                </c:pt>
                <c:pt idx="34">
                  <c:v>Position 35</c:v>
                </c:pt>
                <c:pt idx="35">
                  <c:v>Position 36</c:v>
                </c:pt>
                <c:pt idx="36">
                  <c:v>Position 37</c:v>
                </c:pt>
                <c:pt idx="37">
                  <c:v>Position 38</c:v>
                </c:pt>
                <c:pt idx="38">
                  <c:v>Position 39</c:v>
                </c:pt>
                <c:pt idx="39">
                  <c:v>Position 40</c:v>
                </c:pt>
                <c:pt idx="40">
                  <c:v>Position 41</c:v>
                </c:pt>
                <c:pt idx="41">
                  <c:v>Position 42</c:v>
                </c:pt>
                <c:pt idx="42">
                  <c:v>Position 43</c:v>
                </c:pt>
                <c:pt idx="43">
                  <c:v>Position 44</c:v>
                </c:pt>
                <c:pt idx="44">
                  <c:v>Position 45</c:v>
                </c:pt>
                <c:pt idx="45">
                  <c:v>Position 46</c:v>
                </c:pt>
                <c:pt idx="46">
                  <c:v>Position 47</c:v>
                </c:pt>
                <c:pt idx="47">
                  <c:v>Position 48</c:v>
                </c:pt>
                <c:pt idx="48">
                  <c:v>Position 49</c:v>
                </c:pt>
                <c:pt idx="49">
                  <c:v>Position 50</c:v>
                </c:pt>
              </c:strCache>
            </c:strRef>
          </c:cat>
          <c:val>
            <c:numRef>
              <c:f>Calculations!$N$241:$N$290</c:f>
              <c:numCache>
                <c:formatCode>General</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0-06B9-B54D-9571-AC5662614BB5}"/>
            </c:ext>
          </c:extLst>
        </c:ser>
        <c:dLbls>
          <c:showLegendKey val="0"/>
          <c:showVal val="0"/>
          <c:showCatName val="0"/>
          <c:showSerName val="0"/>
          <c:showPercent val="0"/>
          <c:showBubbleSize val="0"/>
        </c:dLbls>
        <c:gapWidth val="150"/>
        <c:axId val="1058174574"/>
        <c:axId val="2137694341"/>
      </c:barChart>
      <c:catAx>
        <c:axId val="1058174574"/>
        <c:scaling>
          <c:orientation val="minMax"/>
        </c:scaling>
        <c:delete val="0"/>
        <c:axPos val="b"/>
        <c:title>
          <c:tx>
            <c:rich>
              <a:bodyPr/>
              <a:lstStyle/>
              <a:p>
                <a:pPr lvl="0">
                  <a:defRPr b="0">
                    <a:solidFill>
                      <a:srgbClr val="31216B"/>
                    </a:solidFill>
                    <a:latin typeface="+mn-lt"/>
                  </a:defRPr>
                </a:pPr>
                <a:endParaRPr lang="en-NL"/>
              </a:p>
            </c:rich>
          </c:tx>
          <c:overlay val="0"/>
        </c:title>
        <c:numFmt formatCode="General" sourceLinked="1"/>
        <c:majorTickMark val="none"/>
        <c:minorTickMark val="none"/>
        <c:tickLblPos val="nextTo"/>
        <c:txPr>
          <a:bodyPr/>
          <a:lstStyle/>
          <a:p>
            <a:pPr lvl="0">
              <a:defRPr sz="1200" b="0" i="0">
                <a:solidFill>
                  <a:schemeClr val="dk1"/>
                </a:solidFill>
                <a:latin typeface="Trebuchet MS" panose="020B0703020202090204" pitchFamily="34" charset="0"/>
              </a:defRPr>
            </a:pPr>
            <a:endParaRPr lang="en-US"/>
          </a:p>
        </c:txPr>
        <c:crossAx val="2137694341"/>
        <c:crosses val="autoZero"/>
        <c:auto val="1"/>
        <c:lblAlgn val="ctr"/>
        <c:lblOffset val="100"/>
        <c:noMultiLvlLbl val="1"/>
      </c:catAx>
      <c:valAx>
        <c:axId val="2137694341"/>
        <c:scaling>
          <c:orientation val="minMax"/>
        </c:scaling>
        <c:delete val="0"/>
        <c:axPos val="l"/>
        <c:title>
          <c:tx>
            <c:rich>
              <a:bodyPr/>
              <a:lstStyle/>
              <a:p>
                <a:pPr lvl="0">
                  <a:defRPr b="0">
                    <a:solidFill>
                      <a:srgbClr val="31216B"/>
                    </a:solidFill>
                    <a:latin typeface="+mn-lt"/>
                  </a:defRPr>
                </a:pPr>
                <a:endParaRPr lang="en-NL"/>
              </a:p>
            </c:rich>
          </c:tx>
          <c:overlay val="0"/>
        </c:title>
        <c:numFmt formatCode="General" sourceLinked="1"/>
        <c:majorTickMark val="none"/>
        <c:minorTickMark val="none"/>
        <c:tickLblPos val="nextTo"/>
        <c:spPr>
          <a:ln/>
        </c:spPr>
        <c:txPr>
          <a:bodyPr/>
          <a:lstStyle/>
          <a:p>
            <a:pPr lvl="0">
              <a:defRPr b="0" i="0">
                <a:solidFill>
                  <a:schemeClr val="dk1"/>
                </a:solidFill>
                <a:latin typeface="+mn-lt"/>
              </a:defRPr>
            </a:pPr>
            <a:endParaRPr lang="en-US"/>
          </a:p>
        </c:txPr>
        <c:crossAx val="1058174574"/>
        <c:crosses val="autoZero"/>
        <c:crossBetween val="between"/>
      </c:valAx>
    </c:plotArea>
    <c:plotVisOnly val="1"/>
    <c:dispBlanksAs val="zero"/>
    <c:showDLblsOverMax val="1"/>
  </c:chart>
  <c:spPr>
    <a:solidFill>
      <a:schemeClr val="lt1"/>
    </a:solidFill>
  </c:sp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chemeClr val="dk1"/>
                </a:solidFill>
                <a:latin typeface="Trebuchet MS" panose="020B0703020202090204" pitchFamily="34" charset="0"/>
              </a:defRPr>
            </a:pPr>
            <a:r>
              <a:rPr lang="en-US" sz="1800" b="1" i="0">
                <a:solidFill>
                  <a:schemeClr val="dk1"/>
                </a:solidFill>
                <a:latin typeface="Trebuchet MS" panose="020B0703020202090204" pitchFamily="34" charset="0"/>
              </a:rPr>
              <a:t>New Employee per Business Unit in Q3</a:t>
            </a:r>
          </a:p>
        </c:rich>
      </c:tx>
      <c:overlay val="0"/>
    </c:title>
    <c:autoTitleDeleted val="0"/>
    <c:plotArea>
      <c:layout/>
      <c:barChart>
        <c:barDir val="col"/>
        <c:grouping val="clustered"/>
        <c:varyColors val="1"/>
        <c:ser>
          <c:idx val="0"/>
          <c:order val="0"/>
          <c:spPr>
            <a:solidFill>
              <a:srgbClr val="B0E7FF"/>
            </a:solidFill>
            <a:ln cmpd="sng">
              <a:noFill/>
            </a:ln>
          </c:spPr>
          <c:invertIfNegative val="1"/>
          <c:dPt>
            <c:idx val="1"/>
            <c:invertIfNegative val="1"/>
            <c:bubble3D val="0"/>
            <c:extLst>
              <c:ext xmlns:c16="http://schemas.microsoft.com/office/drawing/2014/chart" uri="{C3380CC4-5D6E-409C-BE32-E72D297353CC}">
                <c16:uniqueId val="{00000000-7F83-D449-95FC-2F032F7CBAE7}"/>
              </c:ext>
            </c:extLst>
          </c:dPt>
          <c:dPt>
            <c:idx val="3"/>
            <c:invertIfNegative val="1"/>
            <c:bubble3D val="0"/>
            <c:extLst>
              <c:ext xmlns:c16="http://schemas.microsoft.com/office/drawing/2014/chart" uri="{C3380CC4-5D6E-409C-BE32-E72D297353CC}">
                <c16:uniqueId val="{00000001-7F83-D449-95FC-2F032F7CBAE7}"/>
              </c:ext>
            </c:extLst>
          </c:dPt>
          <c:dLbls>
            <c:spPr>
              <a:noFill/>
              <a:ln>
                <a:noFill/>
              </a:ln>
              <a:effectLst/>
            </c:spPr>
            <c:txPr>
              <a:bodyPr/>
              <a:lstStyle/>
              <a:p>
                <a:pPr lvl="0">
                  <a:defRPr sz="800" b="0" i="0">
                    <a:solidFill>
                      <a:srgbClr val="31216B"/>
                    </a:solidFill>
                    <a:latin typeface="Trebuchet MS" panose="020B070302020209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Calculations!$G$371:$G$384</c:f>
              <c:strCache>
                <c:ptCount val="14"/>
                <c:pt idx="0">
                  <c:v>BU 1</c:v>
                </c:pt>
                <c:pt idx="1">
                  <c:v>BU 2</c:v>
                </c:pt>
                <c:pt idx="2">
                  <c:v>BU 3</c:v>
                </c:pt>
                <c:pt idx="3">
                  <c:v>BU 4</c:v>
                </c:pt>
                <c:pt idx="4">
                  <c:v>BU 5</c:v>
                </c:pt>
                <c:pt idx="5">
                  <c:v>BU 6</c:v>
                </c:pt>
                <c:pt idx="6">
                  <c:v>BU 7</c:v>
                </c:pt>
                <c:pt idx="7">
                  <c:v>BU 8</c:v>
                </c:pt>
                <c:pt idx="8">
                  <c:v>BU 9</c:v>
                </c:pt>
                <c:pt idx="9">
                  <c:v>BU 10</c:v>
                </c:pt>
                <c:pt idx="10">
                  <c:v>BU 11</c:v>
                </c:pt>
                <c:pt idx="11">
                  <c:v>BU 12</c:v>
                </c:pt>
                <c:pt idx="12">
                  <c:v>BU 13</c:v>
                </c:pt>
                <c:pt idx="13">
                  <c:v>BU 14</c:v>
                </c:pt>
              </c:strCache>
            </c:strRef>
          </c:cat>
          <c:val>
            <c:numRef>
              <c:f>Calculations!$H$371:$H$384</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2-7F83-D449-95FC-2F032F7CBAE7}"/>
            </c:ext>
          </c:extLst>
        </c:ser>
        <c:dLbls>
          <c:showLegendKey val="0"/>
          <c:showVal val="0"/>
          <c:showCatName val="0"/>
          <c:showSerName val="0"/>
          <c:showPercent val="0"/>
          <c:showBubbleSize val="0"/>
        </c:dLbls>
        <c:gapWidth val="150"/>
        <c:axId val="1125576781"/>
        <c:axId val="367382071"/>
      </c:barChart>
      <c:catAx>
        <c:axId val="1125576781"/>
        <c:scaling>
          <c:orientation val="minMax"/>
        </c:scaling>
        <c:delete val="0"/>
        <c:axPos val="b"/>
        <c:title>
          <c:tx>
            <c:rich>
              <a:bodyPr/>
              <a:lstStyle/>
              <a:p>
                <a:pPr lvl="0">
                  <a:defRPr b="0">
                    <a:solidFill>
                      <a:srgbClr val="31216B"/>
                    </a:solidFill>
                    <a:latin typeface="+mn-lt"/>
                  </a:defRPr>
                </a:pPr>
                <a:endParaRPr lang="en-NL"/>
              </a:p>
            </c:rich>
          </c:tx>
          <c:overlay val="0"/>
        </c:title>
        <c:numFmt formatCode="General" sourceLinked="1"/>
        <c:majorTickMark val="none"/>
        <c:minorTickMark val="none"/>
        <c:tickLblPos val="nextTo"/>
        <c:txPr>
          <a:bodyPr/>
          <a:lstStyle/>
          <a:p>
            <a:pPr lvl="0">
              <a:defRPr sz="1200" b="0" i="0">
                <a:solidFill>
                  <a:schemeClr val="dk1"/>
                </a:solidFill>
                <a:latin typeface="Trebuchet MS" panose="020B0703020202090204" pitchFamily="34" charset="0"/>
              </a:defRPr>
            </a:pPr>
            <a:endParaRPr lang="en-US"/>
          </a:p>
        </c:txPr>
        <c:crossAx val="367382071"/>
        <c:crosses val="autoZero"/>
        <c:auto val="1"/>
        <c:lblAlgn val="ctr"/>
        <c:lblOffset val="100"/>
        <c:noMultiLvlLbl val="1"/>
      </c:catAx>
      <c:valAx>
        <c:axId val="367382071"/>
        <c:scaling>
          <c:orientation val="minMax"/>
        </c:scaling>
        <c:delete val="1"/>
        <c:axPos val="l"/>
        <c:title>
          <c:tx>
            <c:rich>
              <a:bodyPr/>
              <a:lstStyle/>
              <a:p>
                <a:pPr lvl="0">
                  <a:defRPr b="0">
                    <a:solidFill>
                      <a:srgbClr val="31216B"/>
                    </a:solidFill>
                    <a:latin typeface="+mn-lt"/>
                  </a:defRPr>
                </a:pPr>
                <a:endParaRPr lang="en-NL"/>
              </a:p>
            </c:rich>
          </c:tx>
          <c:overlay val="0"/>
        </c:title>
        <c:numFmt formatCode="General" sourceLinked="1"/>
        <c:majorTickMark val="none"/>
        <c:minorTickMark val="none"/>
        <c:tickLblPos val="nextTo"/>
        <c:crossAx val="1125576781"/>
        <c:crosses val="autoZero"/>
        <c:crossBetween val="between"/>
      </c:valAx>
    </c:plotArea>
    <c:plotVisOnly val="1"/>
    <c:dispBlanksAs val="zero"/>
    <c:showDLblsOverMax val="1"/>
  </c:chart>
  <c:spPr>
    <a:solidFill>
      <a:schemeClr val="lt1"/>
    </a:solidFill>
  </c:sp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chemeClr val="dk1"/>
                </a:solidFill>
                <a:latin typeface="Trebuchet MS" panose="020B0703020202090204" pitchFamily="34" charset="0"/>
              </a:defRPr>
            </a:pPr>
            <a:r>
              <a:rPr lang="en-US" sz="1800" b="1" i="0">
                <a:solidFill>
                  <a:schemeClr val="dk1"/>
                </a:solidFill>
                <a:latin typeface="Trebuchet MS" panose="020B0703020202090204" pitchFamily="34" charset="0"/>
              </a:rPr>
              <a:t>Terminated Employee per Business Unit in Q3</a:t>
            </a:r>
          </a:p>
        </c:rich>
      </c:tx>
      <c:overlay val="0"/>
    </c:title>
    <c:autoTitleDeleted val="0"/>
    <c:plotArea>
      <c:layout/>
      <c:barChart>
        <c:barDir val="col"/>
        <c:grouping val="clustered"/>
        <c:varyColors val="1"/>
        <c:ser>
          <c:idx val="0"/>
          <c:order val="0"/>
          <c:spPr>
            <a:solidFill>
              <a:srgbClr val="B0E7FF"/>
            </a:solidFill>
            <a:ln cmpd="sng">
              <a:noFill/>
            </a:ln>
          </c:spPr>
          <c:invertIfNegative val="1"/>
          <c:dPt>
            <c:idx val="1"/>
            <c:invertIfNegative val="1"/>
            <c:bubble3D val="0"/>
            <c:extLst>
              <c:ext xmlns:c16="http://schemas.microsoft.com/office/drawing/2014/chart" uri="{C3380CC4-5D6E-409C-BE32-E72D297353CC}">
                <c16:uniqueId val="{00000000-E912-084F-B88A-5FF01D543770}"/>
              </c:ext>
            </c:extLst>
          </c:dPt>
          <c:dLbls>
            <c:spPr>
              <a:noFill/>
              <a:ln>
                <a:noFill/>
              </a:ln>
              <a:effectLst/>
            </c:spPr>
            <c:txPr>
              <a:bodyPr/>
              <a:lstStyle/>
              <a:p>
                <a:pPr lvl="0">
                  <a:defRPr sz="800" b="0" i="0">
                    <a:solidFill>
                      <a:srgbClr val="31216B"/>
                    </a:solidFill>
                    <a:latin typeface="Trebuchet MS" panose="020B070302020209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Calculations!$M$371:$M$384</c:f>
              <c:strCache>
                <c:ptCount val="14"/>
                <c:pt idx="0">
                  <c:v>BU 1</c:v>
                </c:pt>
                <c:pt idx="1">
                  <c:v>BU 2</c:v>
                </c:pt>
                <c:pt idx="2">
                  <c:v>BU 3</c:v>
                </c:pt>
                <c:pt idx="3">
                  <c:v>BU 4</c:v>
                </c:pt>
                <c:pt idx="4">
                  <c:v>BU 5</c:v>
                </c:pt>
                <c:pt idx="5">
                  <c:v>BU 6</c:v>
                </c:pt>
                <c:pt idx="6">
                  <c:v>BU 7</c:v>
                </c:pt>
                <c:pt idx="7">
                  <c:v>BU 8</c:v>
                </c:pt>
                <c:pt idx="8">
                  <c:v>BU 9</c:v>
                </c:pt>
                <c:pt idx="9">
                  <c:v>BU 10</c:v>
                </c:pt>
                <c:pt idx="10">
                  <c:v>BU 11</c:v>
                </c:pt>
                <c:pt idx="11">
                  <c:v>BU 12</c:v>
                </c:pt>
                <c:pt idx="12">
                  <c:v>BU 13</c:v>
                </c:pt>
                <c:pt idx="13">
                  <c:v>BU 14</c:v>
                </c:pt>
              </c:strCache>
            </c:strRef>
          </c:cat>
          <c:val>
            <c:numRef>
              <c:f>Calculations!$N$371:$N$384</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1-E912-084F-B88A-5FF01D543770}"/>
            </c:ext>
          </c:extLst>
        </c:ser>
        <c:dLbls>
          <c:showLegendKey val="0"/>
          <c:showVal val="0"/>
          <c:showCatName val="0"/>
          <c:showSerName val="0"/>
          <c:showPercent val="0"/>
          <c:showBubbleSize val="0"/>
        </c:dLbls>
        <c:gapWidth val="150"/>
        <c:axId val="334303069"/>
        <c:axId val="658175240"/>
      </c:barChart>
      <c:catAx>
        <c:axId val="334303069"/>
        <c:scaling>
          <c:orientation val="minMax"/>
        </c:scaling>
        <c:delete val="0"/>
        <c:axPos val="b"/>
        <c:title>
          <c:tx>
            <c:rich>
              <a:bodyPr/>
              <a:lstStyle/>
              <a:p>
                <a:pPr lvl="0">
                  <a:defRPr b="0">
                    <a:solidFill>
                      <a:srgbClr val="31216B"/>
                    </a:solidFill>
                    <a:latin typeface="+mn-lt"/>
                  </a:defRPr>
                </a:pPr>
                <a:endParaRPr lang="en-NL"/>
              </a:p>
            </c:rich>
          </c:tx>
          <c:overlay val="0"/>
        </c:title>
        <c:numFmt formatCode="General" sourceLinked="1"/>
        <c:majorTickMark val="none"/>
        <c:minorTickMark val="none"/>
        <c:tickLblPos val="nextTo"/>
        <c:txPr>
          <a:bodyPr/>
          <a:lstStyle/>
          <a:p>
            <a:pPr lvl="0">
              <a:defRPr sz="1200" b="0" i="0">
                <a:solidFill>
                  <a:schemeClr val="dk1"/>
                </a:solidFill>
                <a:latin typeface="Trebuchet MS" panose="020B0703020202090204" pitchFamily="34" charset="0"/>
              </a:defRPr>
            </a:pPr>
            <a:endParaRPr lang="en-US"/>
          </a:p>
        </c:txPr>
        <c:crossAx val="658175240"/>
        <c:crosses val="autoZero"/>
        <c:auto val="1"/>
        <c:lblAlgn val="ctr"/>
        <c:lblOffset val="100"/>
        <c:noMultiLvlLbl val="1"/>
      </c:catAx>
      <c:valAx>
        <c:axId val="658175240"/>
        <c:scaling>
          <c:orientation val="minMax"/>
        </c:scaling>
        <c:delete val="1"/>
        <c:axPos val="l"/>
        <c:title>
          <c:tx>
            <c:rich>
              <a:bodyPr/>
              <a:lstStyle/>
              <a:p>
                <a:pPr lvl="0">
                  <a:defRPr b="0">
                    <a:solidFill>
                      <a:srgbClr val="31216B"/>
                    </a:solidFill>
                    <a:latin typeface="+mn-lt"/>
                  </a:defRPr>
                </a:pPr>
                <a:endParaRPr lang="en-NL"/>
              </a:p>
            </c:rich>
          </c:tx>
          <c:overlay val="0"/>
        </c:title>
        <c:numFmt formatCode="General" sourceLinked="1"/>
        <c:majorTickMark val="none"/>
        <c:minorTickMark val="none"/>
        <c:tickLblPos val="nextTo"/>
        <c:crossAx val="334303069"/>
        <c:crosses val="autoZero"/>
        <c:crossBetween val="between"/>
      </c:valAx>
    </c:plotArea>
    <c:plotVisOnly val="1"/>
    <c:dispBlanksAs val="zero"/>
    <c:showDLblsOverMax val="1"/>
  </c:chart>
  <c:spPr>
    <a:solidFill>
      <a:schemeClr val="lt1"/>
    </a:solidFill>
  </c:sp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chemeClr val="dk1"/>
                </a:solidFill>
                <a:latin typeface="Trebuchet MS" panose="020B0703020202090204" pitchFamily="34" charset="0"/>
              </a:defRPr>
            </a:pPr>
            <a:r>
              <a:rPr lang="en-US" sz="1800" b="1" i="0">
                <a:solidFill>
                  <a:schemeClr val="dk1"/>
                </a:solidFill>
                <a:latin typeface="Trebuchet MS" panose="020B0703020202090204" pitchFamily="34" charset="0"/>
              </a:rPr>
              <a:t>Total New Employee Occupational Level Profile in Q3</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A4E7-8249-99A2-91282A14CD91}"/>
              </c:ext>
            </c:extLst>
          </c:dPt>
          <c:dPt>
            <c:idx val="1"/>
            <c:bubble3D val="0"/>
            <c:spPr>
              <a:solidFill>
                <a:schemeClr val="accent2"/>
              </a:solidFill>
            </c:spPr>
            <c:extLst>
              <c:ext xmlns:c16="http://schemas.microsoft.com/office/drawing/2014/chart" uri="{C3380CC4-5D6E-409C-BE32-E72D297353CC}">
                <c16:uniqueId val="{00000003-A4E7-8249-99A2-91282A14CD91}"/>
              </c:ext>
            </c:extLst>
          </c:dPt>
          <c:dPt>
            <c:idx val="2"/>
            <c:bubble3D val="0"/>
            <c:spPr>
              <a:solidFill>
                <a:schemeClr val="accent3"/>
              </a:solidFill>
            </c:spPr>
            <c:extLst>
              <c:ext xmlns:c16="http://schemas.microsoft.com/office/drawing/2014/chart" uri="{C3380CC4-5D6E-409C-BE32-E72D297353CC}">
                <c16:uniqueId val="{00000005-A4E7-8249-99A2-91282A14CD91}"/>
              </c:ext>
            </c:extLst>
          </c:dPt>
          <c:dPt>
            <c:idx val="3"/>
            <c:bubble3D val="0"/>
            <c:spPr>
              <a:solidFill>
                <a:schemeClr val="accent4"/>
              </a:solidFill>
            </c:spPr>
            <c:extLst>
              <c:ext xmlns:c16="http://schemas.microsoft.com/office/drawing/2014/chart" uri="{C3380CC4-5D6E-409C-BE32-E72D297353CC}">
                <c16:uniqueId val="{00000007-A4E7-8249-99A2-91282A14CD91}"/>
              </c:ext>
            </c:extLst>
          </c:dPt>
          <c:dPt>
            <c:idx val="4"/>
            <c:bubble3D val="0"/>
            <c:spPr>
              <a:solidFill>
                <a:schemeClr val="accent5"/>
              </a:solidFill>
            </c:spPr>
            <c:extLst>
              <c:ext xmlns:c16="http://schemas.microsoft.com/office/drawing/2014/chart" uri="{C3380CC4-5D6E-409C-BE32-E72D297353CC}">
                <c16:uniqueId val="{00000009-A4E7-8249-99A2-91282A14CD91}"/>
              </c:ext>
            </c:extLst>
          </c:dPt>
          <c:dPt>
            <c:idx val="5"/>
            <c:bubble3D val="0"/>
            <c:spPr>
              <a:solidFill>
                <a:schemeClr val="accent6"/>
              </a:solidFill>
            </c:spPr>
            <c:extLst>
              <c:ext xmlns:c16="http://schemas.microsoft.com/office/drawing/2014/chart" uri="{C3380CC4-5D6E-409C-BE32-E72D297353CC}">
                <c16:uniqueId val="{0000000B-A4E7-8249-99A2-91282A14CD91}"/>
              </c:ext>
            </c:extLst>
          </c:dPt>
          <c:dLbls>
            <c:dLbl>
              <c:idx val="0"/>
              <c:layout>
                <c:manualLayout>
                  <c:x val="-6.4791342065603538E-2"/>
                  <c:y val="5.308526891535576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4E7-8249-99A2-91282A14CD91}"/>
                </c:ext>
              </c:extLst>
            </c:dLbl>
            <c:dLbl>
              <c:idx val="1"/>
              <c:layout>
                <c:manualLayout>
                  <c:x val="-4.0494588791002241E-2"/>
                  <c:y val="-1.9057909032248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4E7-8249-99A2-91282A14CD91}"/>
                </c:ext>
              </c:extLst>
            </c:dLbl>
            <c:dLbl>
              <c:idx val="2"/>
              <c:layout>
                <c:manualLayout>
                  <c:x val="-7.8964448142454305E-2"/>
                  <c:y val="-4.446854926382117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4E7-8249-99A2-91282A14CD91}"/>
                </c:ext>
              </c:extLst>
            </c:dLbl>
            <c:dLbl>
              <c:idx val="3"/>
              <c:layout>
                <c:manualLayout>
                  <c:x val="9.9211742537955311E-2"/>
                  <c:y val="-4.129213623653816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4E7-8249-99A2-91282A14CD91}"/>
                </c:ext>
              </c:extLst>
            </c:dLbl>
            <c:dLbl>
              <c:idx val="4"/>
              <c:layout>
                <c:manualLayout>
                  <c:x val="5.2642965428302817E-2"/>
                  <c:y val="1.6215064489807777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A4E7-8249-99A2-91282A14CD91}"/>
                </c:ext>
              </c:extLst>
            </c:dLbl>
            <c:dLbl>
              <c:idx val="5"/>
              <c:layout>
                <c:manualLayout>
                  <c:x val="3.4420400472351842E-2"/>
                  <c:y val="4.129213623653816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A4E7-8249-99A2-91282A14CD91}"/>
                </c:ext>
              </c:extLst>
            </c:dLbl>
            <c:spPr>
              <a:solidFill>
                <a:srgbClr val="FFFFFF"/>
              </a:solidFill>
              <a:ln>
                <a:solidFill>
                  <a:srgbClr val="31216B">
                    <a:lumMod val="65000"/>
                    <a:lumOff val="35000"/>
                  </a:srgbClr>
                </a:solidFill>
              </a:ln>
              <a:effectLst/>
            </c:spPr>
            <c:txPr>
              <a:bodyPr wrap="square" lIns="38100" tIns="19050" rIns="38100" bIns="19050" anchor="ctr">
                <a:spAutoFit/>
              </a:bodyPr>
              <a:lstStyle/>
              <a:p>
                <a:pPr>
                  <a:defRPr b="0" i="0">
                    <a:latin typeface="Trebuchet MS" panose="020B0703020202090204" pitchFamily="34" charset="0"/>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c15:spPr>
              </c:ext>
            </c:extLst>
          </c:dLbls>
          <c:cat>
            <c:strRef>
              <c:f>Calculations!$I$413:$I$418</c:f>
              <c:strCache>
                <c:ptCount val="6"/>
                <c:pt idx="0">
                  <c:v>Employee</c:v>
                </c:pt>
                <c:pt idx="1">
                  <c:v>Junior Management</c:v>
                </c:pt>
                <c:pt idx="2">
                  <c:v>Management</c:v>
                </c:pt>
                <c:pt idx="3">
                  <c:v>Senior Management</c:v>
                </c:pt>
                <c:pt idx="4">
                  <c:v>Specialist</c:v>
                </c:pt>
                <c:pt idx="5">
                  <c:v>Executive</c:v>
                </c:pt>
              </c:strCache>
            </c:strRef>
          </c:cat>
          <c:val>
            <c:numRef>
              <c:f>Calculations!$J$413:$J$418</c:f>
              <c:numCache>
                <c:formatCode>General</c:formatCode>
                <c:ptCount val="6"/>
                <c:pt idx="0">
                  <c:v>#N/A</c:v>
                </c:pt>
                <c:pt idx="1">
                  <c:v>#N/A</c:v>
                </c:pt>
                <c:pt idx="2">
                  <c:v>#N/A</c:v>
                </c:pt>
                <c:pt idx="3">
                  <c:v>#N/A</c:v>
                </c:pt>
                <c:pt idx="4">
                  <c:v>#N/A</c:v>
                </c:pt>
                <c:pt idx="5">
                  <c:v>#N/A</c:v>
                </c:pt>
              </c:numCache>
            </c:numRef>
          </c:val>
          <c:extLst>
            <c:ext xmlns:c16="http://schemas.microsoft.com/office/drawing/2014/chart" uri="{C3380CC4-5D6E-409C-BE32-E72D297353CC}">
              <c16:uniqueId val="{0000000C-A4E7-8249-99A2-91282A14CD91}"/>
            </c:ext>
          </c:extLst>
        </c:ser>
        <c:dLbls>
          <c:showLegendKey val="0"/>
          <c:showVal val="0"/>
          <c:showCatName val="0"/>
          <c:showSerName val="0"/>
          <c:showPercent val="0"/>
          <c:showBubbleSize val="0"/>
          <c:showLeaderLines val="0"/>
        </c:dLbls>
        <c:firstSliceAng val="0"/>
      </c:pieChart>
    </c:plotArea>
    <c:plotVisOnly val="1"/>
    <c:dispBlanksAs val="zero"/>
    <c:showDLblsOverMax val="1"/>
  </c:chart>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chemeClr val="dk1"/>
                </a:solidFill>
                <a:latin typeface="Trebuchet MS" panose="020B0703020202090204" pitchFamily="34" charset="0"/>
              </a:defRPr>
            </a:pPr>
            <a:r>
              <a:rPr lang="en-US" sz="1800" b="1" i="0">
                <a:solidFill>
                  <a:schemeClr val="dk1"/>
                </a:solidFill>
                <a:latin typeface="Trebuchet MS" panose="020B0703020202090204" pitchFamily="34" charset="0"/>
              </a:rPr>
              <a:t>Total Terminated Employee Occupational Level Profile in Q3</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A38C-904B-9E2F-0493E05A3B9D}"/>
              </c:ext>
            </c:extLst>
          </c:dPt>
          <c:dPt>
            <c:idx val="1"/>
            <c:bubble3D val="0"/>
            <c:spPr>
              <a:solidFill>
                <a:schemeClr val="accent2"/>
              </a:solidFill>
            </c:spPr>
            <c:extLst>
              <c:ext xmlns:c16="http://schemas.microsoft.com/office/drawing/2014/chart" uri="{C3380CC4-5D6E-409C-BE32-E72D297353CC}">
                <c16:uniqueId val="{00000003-A38C-904B-9E2F-0493E05A3B9D}"/>
              </c:ext>
            </c:extLst>
          </c:dPt>
          <c:dPt>
            <c:idx val="2"/>
            <c:bubble3D val="0"/>
            <c:spPr>
              <a:solidFill>
                <a:schemeClr val="accent3"/>
              </a:solidFill>
            </c:spPr>
            <c:extLst>
              <c:ext xmlns:c16="http://schemas.microsoft.com/office/drawing/2014/chart" uri="{C3380CC4-5D6E-409C-BE32-E72D297353CC}">
                <c16:uniqueId val="{00000005-A38C-904B-9E2F-0493E05A3B9D}"/>
              </c:ext>
            </c:extLst>
          </c:dPt>
          <c:dPt>
            <c:idx val="3"/>
            <c:bubble3D val="0"/>
            <c:spPr>
              <a:solidFill>
                <a:schemeClr val="accent4"/>
              </a:solidFill>
            </c:spPr>
            <c:extLst>
              <c:ext xmlns:c16="http://schemas.microsoft.com/office/drawing/2014/chart" uri="{C3380CC4-5D6E-409C-BE32-E72D297353CC}">
                <c16:uniqueId val="{00000007-A38C-904B-9E2F-0493E05A3B9D}"/>
              </c:ext>
            </c:extLst>
          </c:dPt>
          <c:dPt>
            <c:idx val="4"/>
            <c:bubble3D val="0"/>
            <c:spPr>
              <a:solidFill>
                <a:schemeClr val="accent5"/>
              </a:solidFill>
            </c:spPr>
            <c:extLst>
              <c:ext xmlns:c16="http://schemas.microsoft.com/office/drawing/2014/chart" uri="{C3380CC4-5D6E-409C-BE32-E72D297353CC}">
                <c16:uniqueId val="{00000009-A38C-904B-9E2F-0493E05A3B9D}"/>
              </c:ext>
            </c:extLst>
          </c:dPt>
          <c:dPt>
            <c:idx val="5"/>
            <c:bubble3D val="0"/>
            <c:spPr>
              <a:solidFill>
                <a:schemeClr val="accent6"/>
              </a:solidFill>
            </c:spPr>
            <c:extLst>
              <c:ext xmlns:c16="http://schemas.microsoft.com/office/drawing/2014/chart" uri="{C3380CC4-5D6E-409C-BE32-E72D297353CC}">
                <c16:uniqueId val="{0000000B-A38C-904B-9E2F-0493E05A3B9D}"/>
              </c:ext>
            </c:extLst>
          </c:dPt>
          <c:dLbls>
            <c:dLbl>
              <c:idx val="0"/>
              <c:layout>
                <c:manualLayout>
                  <c:x val="-5.1130268813160983E-2"/>
                  <c:y val="6.4114570212774552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38C-904B-9E2F-0493E05A3B9D}"/>
                </c:ext>
              </c:extLst>
            </c:dLbl>
            <c:dLbl>
              <c:idx val="1"/>
              <c:layout>
                <c:manualLayout>
                  <c:x val="-4.4994636555581738E-2"/>
                  <c:y val="-4.167447063830345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38C-904B-9E2F-0493E05A3B9D}"/>
                </c:ext>
              </c:extLst>
            </c:dLbl>
            <c:dLbl>
              <c:idx val="2"/>
              <c:layout>
                <c:manualLayout>
                  <c:x val="2.8632950535370148E-2"/>
                  <c:y val="-4.488019914894230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38C-904B-9E2F-0493E05A3B9D}"/>
                </c:ext>
              </c:extLst>
            </c:dLbl>
            <c:dLbl>
              <c:idx val="3"/>
              <c:layout>
                <c:manualLayout>
                  <c:x val="7.5672797843478246E-2"/>
                  <c:y val="-3.2057285106387276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38C-904B-9E2F-0493E05A3B9D}"/>
                </c:ext>
              </c:extLst>
            </c:dLbl>
            <c:dLbl>
              <c:idx val="4"/>
              <c:layout>
                <c:manualLayout>
                  <c:x val="4.4994636555581662E-2"/>
                  <c:y val="3.846874212766467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A38C-904B-9E2F-0493E05A3B9D}"/>
                </c:ext>
              </c:extLst>
            </c:dLbl>
            <c:dLbl>
              <c:idx val="5"/>
              <c:layout>
                <c:manualLayout>
                  <c:x val="2.0452107525264392E-3"/>
                  <c:y val="-4.344831007333685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A38C-904B-9E2F-0493E05A3B9D}"/>
                </c:ext>
              </c:extLst>
            </c:dLbl>
            <c:spPr>
              <a:solidFill>
                <a:srgbClr val="FFFFFF"/>
              </a:solidFill>
              <a:ln>
                <a:solidFill>
                  <a:srgbClr val="31216B">
                    <a:lumMod val="65000"/>
                    <a:lumOff val="35000"/>
                  </a:srgbClr>
                </a:solidFill>
              </a:ln>
              <a:effectLst/>
            </c:spPr>
            <c:txPr>
              <a:bodyPr wrap="square" lIns="38100" tIns="19050" rIns="38100" bIns="19050" anchor="ctr">
                <a:spAutoFit/>
              </a:bodyPr>
              <a:lstStyle/>
              <a:p>
                <a:pPr>
                  <a:defRPr b="0" i="0">
                    <a:latin typeface="Trebuchet MS" panose="020B0703020202090204" pitchFamily="34" charset="0"/>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c15:spPr>
              </c:ext>
            </c:extLst>
          </c:dLbls>
          <c:cat>
            <c:strRef>
              <c:f>Calculations!$O$413:$O$418</c:f>
              <c:strCache>
                <c:ptCount val="6"/>
                <c:pt idx="0">
                  <c:v>Employee</c:v>
                </c:pt>
                <c:pt idx="1">
                  <c:v>Junior Management</c:v>
                </c:pt>
                <c:pt idx="2">
                  <c:v>Management</c:v>
                </c:pt>
                <c:pt idx="3">
                  <c:v>Senior Management</c:v>
                </c:pt>
                <c:pt idx="4">
                  <c:v>Specialist</c:v>
                </c:pt>
                <c:pt idx="5">
                  <c:v>Executive</c:v>
                </c:pt>
              </c:strCache>
            </c:strRef>
          </c:cat>
          <c:val>
            <c:numRef>
              <c:f>Calculations!$P$413:$P$418</c:f>
              <c:numCache>
                <c:formatCode>General</c:formatCode>
                <c:ptCount val="6"/>
                <c:pt idx="0">
                  <c:v>#N/A</c:v>
                </c:pt>
                <c:pt idx="1">
                  <c:v>#N/A</c:v>
                </c:pt>
                <c:pt idx="2">
                  <c:v>#N/A</c:v>
                </c:pt>
                <c:pt idx="3">
                  <c:v>#N/A</c:v>
                </c:pt>
                <c:pt idx="4">
                  <c:v>#N/A</c:v>
                </c:pt>
                <c:pt idx="5">
                  <c:v>#N/A</c:v>
                </c:pt>
              </c:numCache>
            </c:numRef>
          </c:val>
          <c:extLst>
            <c:ext xmlns:c16="http://schemas.microsoft.com/office/drawing/2014/chart" uri="{C3380CC4-5D6E-409C-BE32-E72D297353CC}">
              <c16:uniqueId val="{0000000C-A38C-904B-9E2F-0493E05A3B9D}"/>
            </c:ext>
          </c:extLst>
        </c:ser>
        <c:dLbls>
          <c:showLegendKey val="0"/>
          <c:showVal val="0"/>
          <c:showCatName val="0"/>
          <c:showSerName val="0"/>
          <c:showPercent val="0"/>
          <c:showBubbleSize val="0"/>
          <c:showLeaderLines val="0"/>
        </c:dLbls>
        <c:firstSliceAng val="0"/>
      </c:pieChart>
    </c:plotArea>
    <c:plotVisOnly val="1"/>
    <c:dispBlanksAs val="zero"/>
    <c:showDLblsOverMax val="1"/>
  </c:chart>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chemeClr val="dk1"/>
                </a:solidFill>
                <a:latin typeface="Trebuchet MS" panose="020B0703020202090204" pitchFamily="34" charset="0"/>
              </a:defRPr>
            </a:pPr>
            <a:r>
              <a:rPr lang="en-US" sz="1800" b="1" i="0">
                <a:solidFill>
                  <a:schemeClr val="dk1"/>
                </a:solidFill>
                <a:latin typeface="Trebuchet MS" panose="020B0703020202090204" pitchFamily="34" charset="0"/>
              </a:rPr>
              <a:t>Total New Employee Gender Profile in Q4</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B244-7342-BD7E-AD6357442370}"/>
              </c:ext>
            </c:extLst>
          </c:dPt>
          <c:dPt>
            <c:idx val="1"/>
            <c:bubble3D val="0"/>
            <c:spPr>
              <a:solidFill>
                <a:schemeClr val="accent2"/>
              </a:solidFill>
            </c:spPr>
            <c:extLst>
              <c:ext xmlns:c16="http://schemas.microsoft.com/office/drawing/2014/chart" uri="{C3380CC4-5D6E-409C-BE32-E72D297353CC}">
                <c16:uniqueId val="{00000003-B244-7342-BD7E-AD6357442370}"/>
              </c:ext>
            </c:extLst>
          </c:dPt>
          <c:dPt>
            <c:idx val="2"/>
            <c:bubble3D val="0"/>
            <c:spPr>
              <a:solidFill>
                <a:schemeClr val="accent3"/>
              </a:solidFill>
            </c:spPr>
            <c:extLst>
              <c:ext xmlns:c16="http://schemas.microsoft.com/office/drawing/2014/chart" uri="{C3380CC4-5D6E-409C-BE32-E72D297353CC}">
                <c16:uniqueId val="{00000005-B244-7342-BD7E-AD6357442370}"/>
              </c:ext>
            </c:extLst>
          </c:dPt>
          <c:dPt>
            <c:idx val="3"/>
            <c:bubble3D val="0"/>
            <c:spPr>
              <a:solidFill>
                <a:schemeClr val="accent4"/>
              </a:solidFill>
            </c:spPr>
            <c:extLst>
              <c:ext xmlns:c16="http://schemas.microsoft.com/office/drawing/2014/chart" uri="{C3380CC4-5D6E-409C-BE32-E72D297353CC}">
                <c16:uniqueId val="{00000007-B244-7342-BD7E-AD6357442370}"/>
              </c:ext>
            </c:extLst>
          </c:dPt>
          <c:dLbls>
            <c:dLbl>
              <c:idx val="0"/>
              <c:layout>
                <c:manualLayout>
                  <c:x val="-4.7053474067119405E-2"/>
                  <c:y val="3.200388683425615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244-7342-BD7E-AD6357442370}"/>
                </c:ext>
              </c:extLst>
            </c:dLbl>
            <c:dLbl>
              <c:idx val="1"/>
              <c:layout>
                <c:manualLayout>
                  <c:x val="-3.2081914136672399E-2"/>
                  <c:y val="-5.440660761823557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244-7342-BD7E-AD6357442370}"/>
                </c:ext>
              </c:extLst>
            </c:dLbl>
            <c:dLbl>
              <c:idx val="2"/>
              <c:layout>
                <c:manualLayout>
                  <c:x val="4.9192268342897562E-2"/>
                  <c:y val="-4.800583025138423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244-7342-BD7E-AD6357442370}"/>
                </c:ext>
              </c:extLst>
            </c:dLbl>
            <c:dLbl>
              <c:idx val="3"/>
              <c:layout>
                <c:manualLayout>
                  <c:x val="4.2775885515563099E-2"/>
                  <c:y val="-9.6011660502768464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244-7342-BD7E-AD6357442370}"/>
                </c:ext>
              </c:extLst>
            </c:dLbl>
            <c:spPr>
              <a:solidFill>
                <a:srgbClr val="FFFFFF"/>
              </a:solidFill>
              <a:ln>
                <a:solidFill>
                  <a:srgbClr val="31216B">
                    <a:lumMod val="65000"/>
                    <a:lumOff val="35000"/>
                  </a:srgbClr>
                </a:solidFill>
              </a:ln>
              <a:effectLst/>
            </c:spPr>
            <c:txPr>
              <a:bodyPr wrap="square" lIns="38100" tIns="19050" rIns="38100" bIns="19050" anchor="ctr">
                <a:spAutoFit/>
              </a:bodyPr>
              <a:lstStyle/>
              <a:p>
                <a:pPr>
                  <a:defRPr b="0" i="0">
                    <a:latin typeface="Trebuchet MS" panose="020B0703020202090204" pitchFamily="34" charset="0"/>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c15:spPr>
              </c:ext>
            </c:extLst>
          </c:dLbls>
          <c:cat>
            <c:strRef>
              <c:f>Calculations!$I$442:$I$446</c:f>
              <c:strCache>
                <c:ptCount val="5"/>
                <c:pt idx="0">
                  <c:v>Female</c:v>
                </c:pt>
                <c:pt idx="1">
                  <c:v>Male</c:v>
                </c:pt>
                <c:pt idx="2">
                  <c:v>Nonbinary</c:v>
                </c:pt>
                <c:pt idx="3">
                  <c:v>Other</c:v>
                </c:pt>
                <c:pt idx="4">
                  <c:v>Prefers not to disclose</c:v>
                </c:pt>
              </c:strCache>
            </c:strRef>
          </c:cat>
          <c:val>
            <c:numRef>
              <c:f>Calculations!$J$442:$J$446</c:f>
              <c:numCache>
                <c:formatCode>General</c:formatCode>
                <c:ptCount val="5"/>
                <c:pt idx="0">
                  <c:v>#N/A</c:v>
                </c:pt>
                <c:pt idx="1">
                  <c:v>#N/A</c:v>
                </c:pt>
                <c:pt idx="2">
                  <c:v>#N/A</c:v>
                </c:pt>
                <c:pt idx="3">
                  <c:v>#N/A</c:v>
                </c:pt>
                <c:pt idx="4">
                  <c:v>#N/A</c:v>
                </c:pt>
              </c:numCache>
            </c:numRef>
          </c:val>
          <c:extLst>
            <c:ext xmlns:c16="http://schemas.microsoft.com/office/drawing/2014/chart" uri="{C3380CC4-5D6E-409C-BE32-E72D297353CC}">
              <c16:uniqueId val="{00000008-B244-7342-BD7E-AD6357442370}"/>
            </c:ext>
          </c:extLst>
        </c:ser>
        <c:dLbls>
          <c:showLegendKey val="0"/>
          <c:showVal val="0"/>
          <c:showCatName val="0"/>
          <c:showSerName val="0"/>
          <c:showPercent val="0"/>
          <c:showBubbleSize val="0"/>
          <c:showLeaderLines val="0"/>
        </c:dLbls>
        <c:firstSliceAng val="0"/>
      </c:pieChart>
    </c:plotArea>
    <c:plotVisOnly val="1"/>
    <c:dispBlanksAs val="zero"/>
    <c:showDLblsOverMax val="1"/>
  </c:chart>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chemeClr val="dk1"/>
                </a:solidFill>
                <a:latin typeface="Trebuchet MS" panose="020B0703020202090204" pitchFamily="34" charset="0"/>
              </a:defRPr>
            </a:pPr>
            <a:r>
              <a:rPr lang="en-US" sz="1800" b="1" i="0">
                <a:solidFill>
                  <a:schemeClr val="dk1"/>
                </a:solidFill>
                <a:latin typeface="Trebuchet MS" panose="020B0703020202090204" pitchFamily="34" charset="0"/>
              </a:rPr>
              <a:t>Total Terminated Employee Gender Profile in Q4</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7CA9-A340-BCD4-54CC4DDF6CD2}"/>
              </c:ext>
            </c:extLst>
          </c:dPt>
          <c:dPt>
            <c:idx val="1"/>
            <c:bubble3D val="0"/>
            <c:spPr>
              <a:solidFill>
                <a:schemeClr val="accent2"/>
              </a:solidFill>
            </c:spPr>
            <c:extLst>
              <c:ext xmlns:c16="http://schemas.microsoft.com/office/drawing/2014/chart" uri="{C3380CC4-5D6E-409C-BE32-E72D297353CC}">
                <c16:uniqueId val="{00000003-7CA9-A340-BCD4-54CC4DDF6CD2}"/>
              </c:ext>
            </c:extLst>
          </c:dPt>
          <c:dPt>
            <c:idx val="2"/>
            <c:bubble3D val="0"/>
            <c:spPr>
              <a:solidFill>
                <a:schemeClr val="accent3"/>
              </a:solidFill>
            </c:spPr>
            <c:extLst>
              <c:ext xmlns:c16="http://schemas.microsoft.com/office/drawing/2014/chart" uri="{C3380CC4-5D6E-409C-BE32-E72D297353CC}">
                <c16:uniqueId val="{00000005-7CA9-A340-BCD4-54CC4DDF6CD2}"/>
              </c:ext>
            </c:extLst>
          </c:dPt>
          <c:dPt>
            <c:idx val="3"/>
            <c:bubble3D val="0"/>
            <c:spPr>
              <a:solidFill>
                <a:schemeClr val="accent4"/>
              </a:solidFill>
            </c:spPr>
            <c:extLst>
              <c:ext xmlns:c16="http://schemas.microsoft.com/office/drawing/2014/chart" uri="{C3380CC4-5D6E-409C-BE32-E72D297353CC}">
                <c16:uniqueId val="{00000007-7CA9-A340-BCD4-54CC4DDF6CD2}"/>
              </c:ext>
            </c:extLst>
          </c:dPt>
          <c:dLbls>
            <c:dLbl>
              <c:idx val="0"/>
              <c:layout>
                <c:manualLayout>
                  <c:x val="2.364118562593576E-3"/>
                  <c:y val="-3.849295533453257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CA9-A340-BCD4-54CC4DDF6CD2}"/>
                </c:ext>
              </c:extLst>
            </c:dLbl>
            <c:dLbl>
              <c:idx val="1"/>
              <c:layout>
                <c:manualLayout>
                  <c:x val="-3.3097659876310061E-2"/>
                  <c:y val="-4.490844789028800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CA9-A340-BCD4-54CC4DDF6CD2}"/>
                </c:ext>
              </c:extLst>
            </c:dLbl>
            <c:dLbl>
              <c:idx val="2"/>
              <c:layout>
                <c:manualLayout>
                  <c:x val="5.9102964064839399E-2"/>
                  <c:y val="-4.490844789028800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CA9-A340-BCD4-54CC4DDF6CD2}"/>
                </c:ext>
              </c:extLst>
            </c:dLbl>
            <c:dLbl>
              <c:idx val="3"/>
              <c:layout>
                <c:manualLayout>
                  <c:x val="3.7825897001497216E-2"/>
                  <c:y val="-1.283098511151097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CA9-A340-BCD4-54CC4DDF6CD2}"/>
                </c:ext>
              </c:extLst>
            </c:dLbl>
            <c:dLbl>
              <c:idx val="4"/>
              <c:layout>
                <c:manualLayout>
                  <c:x val="9.2200623941149418E-2"/>
                  <c:y val="6.736267183543201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3D2A-6E40-9B4B-B2A0AC3AFF48}"/>
                </c:ext>
              </c:extLst>
            </c:dLbl>
            <c:spPr>
              <a:solidFill>
                <a:srgbClr val="FFFFFF"/>
              </a:solidFill>
              <a:ln>
                <a:solidFill>
                  <a:srgbClr val="31216B">
                    <a:lumMod val="65000"/>
                    <a:lumOff val="35000"/>
                  </a:srgbClr>
                </a:solidFill>
              </a:ln>
              <a:effectLst/>
            </c:spPr>
            <c:txPr>
              <a:bodyPr wrap="square" lIns="38100" tIns="19050" rIns="38100" bIns="19050" anchor="ctr">
                <a:spAutoFit/>
              </a:bodyPr>
              <a:lstStyle/>
              <a:p>
                <a:pPr>
                  <a:defRPr b="0" i="0">
                    <a:latin typeface="Trebuchet MS" panose="020B0703020202090204" pitchFamily="34" charset="0"/>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c15:spPr>
              </c:ext>
            </c:extLst>
          </c:dLbls>
          <c:cat>
            <c:strRef>
              <c:f>Calculations!$O$442:$O$446</c:f>
              <c:strCache>
                <c:ptCount val="5"/>
                <c:pt idx="0">
                  <c:v>Female</c:v>
                </c:pt>
                <c:pt idx="1">
                  <c:v>Male</c:v>
                </c:pt>
                <c:pt idx="2">
                  <c:v>Nonbinary</c:v>
                </c:pt>
                <c:pt idx="3">
                  <c:v>Other</c:v>
                </c:pt>
                <c:pt idx="4">
                  <c:v>Prefers not to disclose</c:v>
                </c:pt>
              </c:strCache>
            </c:strRef>
          </c:cat>
          <c:val>
            <c:numRef>
              <c:f>Calculations!$P$442:$P$446</c:f>
              <c:numCache>
                <c:formatCode>General</c:formatCode>
                <c:ptCount val="5"/>
                <c:pt idx="0">
                  <c:v>#N/A</c:v>
                </c:pt>
                <c:pt idx="1">
                  <c:v>#N/A</c:v>
                </c:pt>
                <c:pt idx="2">
                  <c:v>#N/A</c:v>
                </c:pt>
                <c:pt idx="3">
                  <c:v>#N/A</c:v>
                </c:pt>
                <c:pt idx="4">
                  <c:v>#N/A</c:v>
                </c:pt>
              </c:numCache>
            </c:numRef>
          </c:val>
          <c:extLst>
            <c:ext xmlns:c16="http://schemas.microsoft.com/office/drawing/2014/chart" uri="{C3380CC4-5D6E-409C-BE32-E72D297353CC}">
              <c16:uniqueId val="{00000008-7CA9-A340-BCD4-54CC4DDF6CD2}"/>
            </c:ext>
          </c:extLst>
        </c:ser>
        <c:dLbls>
          <c:showLegendKey val="0"/>
          <c:showVal val="0"/>
          <c:showCatName val="0"/>
          <c:showSerName val="0"/>
          <c:showPercent val="0"/>
          <c:showBubbleSize val="0"/>
          <c:showLeaderLines val="0"/>
        </c:dLbls>
        <c:firstSliceAng val="0"/>
      </c:pieChart>
    </c:plotArea>
    <c:plotVisOnly val="1"/>
    <c:dispBlanksAs val="zero"/>
    <c:showDLblsOverMax val="1"/>
  </c:chart>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chemeClr val="dk1"/>
                </a:solidFill>
                <a:latin typeface="Trebuchet MS" panose="020B0703020202090204" pitchFamily="34" charset="0"/>
              </a:defRPr>
            </a:pPr>
            <a:r>
              <a:rPr lang="en-US" sz="1800" b="1" i="0">
                <a:solidFill>
                  <a:schemeClr val="dk1"/>
                </a:solidFill>
                <a:latin typeface="Trebuchet MS" panose="020B0703020202090204" pitchFamily="34" charset="0"/>
              </a:rPr>
              <a:t>Total New Employee Race Profile in Q4</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C023-FA41-AD28-D6627EEB9DCD}"/>
              </c:ext>
            </c:extLst>
          </c:dPt>
          <c:dPt>
            <c:idx val="1"/>
            <c:bubble3D val="0"/>
            <c:spPr>
              <a:solidFill>
                <a:schemeClr val="accent2"/>
              </a:solidFill>
            </c:spPr>
            <c:extLst>
              <c:ext xmlns:c16="http://schemas.microsoft.com/office/drawing/2014/chart" uri="{C3380CC4-5D6E-409C-BE32-E72D297353CC}">
                <c16:uniqueId val="{00000003-C023-FA41-AD28-D6627EEB9DCD}"/>
              </c:ext>
            </c:extLst>
          </c:dPt>
          <c:dPt>
            <c:idx val="2"/>
            <c:bubble3D val="0"/>
            <c:spPr>
              <a:solidFill>
                <a:schemeClr val="accent3"/>
              </a:solidFill>
            </c:spPr>
            <c:extLst>
              <c:ext xmlns:c16="http://schemas.microsoft.com/office/drawing/2014/chart" uri="{C3380CC4-5D6E-409C-BE32-E72D297353CC}">
                <c16:uniqueId val="{00000005-C023-FA41-AD28-D6627EEB9DCD}"/>
              </c:ext>
            </c:extLst>
          </c:dPt>
          <c:dPt>
            <c:idx val="3"/>
            <c:bubble3D val="0"/>
            <c:spPr>
              <a:solidFill>
                <a:schemeClr val="accent4"/>
              </a:solidFill>
            </c:spPr>
            <c:extLst>
              <c:ext xmlns:c16="http://schemas.microsoft.com/office/drawing/2014/chart" uri="{C3380CC4-5D6E-409C-BE32-E72D297353CC}">
                <c16:uniqueId val="{00000007-C023-FA41-AD28-D6627EEB9DCD}"/>
              </c:ext>
            </c:extLst>
          </c:dPt>
          <c:dPt>
            <c:idx val="4"/>
            <c:bubble3D val="0"/>
            <c:spPr>
              <a:solidFill>
                <a:schemeClr val="accent5"/>
              </a:solidFill>
            </c:spPr>
            <c:extLst>
              <c:ext xmlns:c16="http://schemas.microsoft.com/office/drawing/2014/chart" uri="{C3380CC4-5D6E-409C-BE32-E72D297353CC}">
                <c16:uniqueId val="{00000009-C023-FA41-AD28-D6627EEB9DCD}"/>
              </c:ext>
            </c:extLst>
          </c:dPt>
          <c:dPt>
            <c:idx val="5"/>
            <c:bubble3D val="0"/>
            <c:spPr>
              <a:solidFill>
                <a:srgbClr val="FFD0D4"/>
              </a:solidFill>
            </c:spPr>
            <c:extLst>
              <c:ext xmlns:c16="http://schemas.microsoft.com/office/drawing/2014/chart" uri="{C3380CC4-5D6E-409C-BE32-E72D297353CC}">
                <c16:uniqueId val="{0000000A-D47B-5448-904F-B7617F7A8CF2}"/>
              </c:ext>
            </c:extLst>
          </c:dPt>
          <c:dLbls>
            <c:dLbl>
              <c:idx val="0"/>
              <c:layout>
                <c:manualLayout>
                  <c:x val="-3.8498296964006869E-2"/>
                  <c:y val="5.792575620858441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023-FA41-AD28-D6627EEB9DCD}"/>
                </c:ext>
              </c:extLst>
            </c:dLbl>
            <c:dLbl>
              <c:idx val="1"/>
              <c:layout>
                <c:manualLayout>
                  <c:x val="-4.2775885515563099E-2"/>
                  <c:y val="3.2180975671435197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023-FA41-AD28-D6627EEB9DCD}"/>
                </c:ext>
              </c:extLst>
            </c:dLbl>
            <c:dLbl>
              <c:idx val="2"/>
              <c:layout>
                <c:manualLayout>
                  <c:x val="-8.5551771031126198E-2"/>
                  <c:y val="-5.148956107429737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023-FA41-AD28-D6627EEB9DCD}"/>
                </c:ext>
              </c:extLst>
            </c:dLbl>
            <c:dLbl>
              <c:idx val="3"/>
              <c:layout>
                <c:manualLayout>
                  <c:x val="4.2775885515563099E-2"/>
                  <c:y val="-6.114385377572799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023-FA41-AD28-D6627EEB9DCD}"/>
                </c:ext>
              </c:extLst>
            </c:dLbl>
            <c:dLbl>
              <c:idx val="4"/>
              <c:layout>
                <c:manualLayout>
                  <c:x val="6.6302622549122822E-2"/>
                  <c:y val="-6.4361951342872164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C023-FA41-AD28-D6627EEB9DCD}"/>
                </c:ext>
              </c:extLst>
            </c:dLbl>
            <c:dLbl>
              <c:idx val="5"/>
              <c:layout>
                <c:manualLayout>
                  <c:x val="7.6996593928013529E-2"/>
                  <c:y val="7.401624404430233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D47B-5448-904F-B7617F7A8CF2}"/>
                </c:ext>
              </c:extLst>
            </c:dLbl>
            <c:spPr>
              <a:solidFill>
                <a:srgbClr val="FFFFFF"/>
              </a:solidFill>
              <a:ln>
                <a:solidFill>
                  <a:srgbClr val="31216B">
                    <a:lumMod val="65000"/>
                    <a:lumOff val="35000"/>
                  </a:srgbClr>
                </a:solidFill>
              </a:ln>
              <a:effectLst/>
            </c:spPr>
            <c:txPr>
              <a:bodyPr wrap="square" lIns="38100" tIns="19050" rIns="38100" bIns="19050" anchor="ctr">
                <a:spAutoFit/>
              </a:bodyPr>
              <a:lstStyle/>
              <a:p>
                <a:pPr>
                  <a:defRPr b="0" i="0">
                    <a:latin typeface="Trebuchet MS" panose="020B0703020202090204" pitchFamily="34" charset="0"/>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c15:spPr>
              </c:ext>
            </c:extLst>
          </c:dLbls>
          <c:cat>
            <c:strRef>
              <c:f>Calculations!$I$467:$I$472</c:f>
              <c:strCache>
                <c:ptCount val="6"/>
                <c:pt idx="0">
                  <c:v>Asian</c:v>
                </c:pt>
                <c:pt idx="1">
                  <c:v>Black</c:v>
                </c:pt>
                <c:pt idx="2">
                  <c:v>Hispanic or Latino</c:v>
                </c:pt>
                <c:pt idx="3">
                  <c:v>White</c:v>
                </c:pt>
                <c:pt idx="4">
                  <c:v>American Indian/Alaska Native</c:v>
                </c:pt>
                <c:pt idx="5">
                  <c:v>Prefers not to identify</c:v>
                </c:pt>
              </c:strCache>
            </c:strRef>
          </c:cat>
          <c:val>
            <c:numRef>
              <c:f>Calculations!$J$467:$J$472</c:f>
              <c:numCache>
                <c:formatCode>General</c:formatCode>
                <c:ptCount val="6"/>
                <c:pt idx="0">
                  <c:v>#N/A</c:v>
                </c:pt>
                <c:pt idx="1">
                  <c:v>#N/A</c:v>
                </c:pt>
                <c:pt idx="2">
                  <c:v>#N/A</c:v>
                </c:pt>
                <c:pt idx="3">
                  <c:v>#N/A</c:v>
                </c:pt>
                <c:pt idx="4">
                  <c:v>#N/A</c:v>
                </c:pt>
                <c:pt idx="5">
                  <c:v>#N/A</c:v>
                </c:pt>
              </c:numCache>
            </c:numRef>
          </c:val>
          <c:extLst>
            <c:ext xmlns:c16="http://schemas.microsoft.com/office/drawing/2014/chart" uri="{C3380CC4-5D6E-409C-BE32-E72D297353CC}">
              <c16:uniqueId val="{0000000A-C023-FA41-AD28-D6627EEB9DCD}"/>
            </c:ext>
          </c:extLst>
        </c:ser>
        <c:dLbls>
          <c:showLegendKey val="0"/>
          <c:showVal val="0"/>
          <c:showCatName val="0"/>
          <c:showSerName val="0"/>
          <c:showPercent val="0"/>
          <c:showBubbleSize val="0"/>
          <c:showLeaderLines val="0"/>
        </c:dLbls>
        <c:firstSliceAng val="0"/>
      </c:pieChart>
    </c:plotArea>
    <c:plotVisOnly val="1"/>
    <c:dispBlanksAs val="zero"/>
    <c:showDLblsOverMax val="1"/>
  </c:chart>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chemeClr val="dk1"/>
                </a:solidFill>
                <a:latin typeface="Trebuchet MS" panose="020B0703020202090204" pitchFamily="34" charset="0"/>
              </a:defRPr>
            </a:pPr>
            <a:r>
              <a:rPr lang="en-US" sz="1800" b="1" i="0">
                <a:solidFill>
                  <a:schemeClr val="dk1"/>
                </a:solidFill>
                <a:latin typeface="Trebuchet MS" panose="020B0703020202090204" pitchFamily="34" charset="0"/>
              </a:rPr>
              <a:t>Total Terminated Employee Race Profile in Q4</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18F8-974E-9E8D-0CE2AF017557}"/>
              </c:ext>
            </c:extLst>
          </c:dPt>
          <c:dPt>
            <c:idx val="1"/>
            <c:bubble3D val="0"/>
            <c:spPr>
              <a:solidFill>
                <a:schemeClr val="accent2"/>
              </a:solidFill>
            </c:spPr>
            <c:extLst>
              <c:ext xmlns:c16="http://schemas.microsoft.com/office/drawing/2014/chart" uri="{C3380CC4-5D6E-409C-BE32-E72D297353CC}">
                <c16:uniqueId val="{00000003-18F8-974E-9E8D-0CE2AF017557}"/>
              </c:ext>
            </c:extLst>
          </c:dPt>
          <c:dPt>
            <c:idx val="2"/>
            <c:bubble3D val="0"/>
            <c:spPr>
              <a:solidFill>
                <a:schemeClr val="accent3"/>
              </a:solidFill>
            </c:spPr>
            <c:extLst>
              <c:ext xmlns:c16="http://schemas.microsoft.com/office/drawing/2014/chart" uri="{C3380CC4-5D6E-409C-BE32-E72D297353CC}">
                <c16:uniqueId val="{00000005-18F8-974E-9E8D-0CE2AF017557}"/>
              </c:ext>
            </c:extLst>
          </c:dPt>
          <c:dPt>
            <c:idx val="3"/>
            <c:bubble3D val="0"/>
            <c:spPr>
              <a:solidFill>
                <a:schemeClr val="accent4"/>
              </a:solidFill>
            </c:spPr>
            <c:extLst>
              <c:ext xmlns:c16="http://schemas.microsoft.com/office/drawing/2014/chart" uri="{C3380CC4-5D6E-409C-BE32-E72D297353CC}">
                <c16:uniqueId val="{00000007-18F8-974E-9E8D-0CE2AF017557}"/>
              </c:ext>
            </c:extLst>
          </c:dPt>
          <c:dPt>
            <c:idx val="4"/>
            <c:bubble3D val="0"/>
            <c:spPr>
              <a:solidFill>
                <a:schemeClr val="accent5"/>
              </a:solidFill>
            </c:spPr>
            <c:extLst>
              <c:ext xmlns:c16="http://schemas.microsoft.com/office/drawing/2014/chart" uri="{C3380CC4-5D6E-409C-BE32-E72D297353CC}">
                <c16:uniqueId val="{00000009-18F8-974E-9E8D-0CE2AF017557}"/>
              </c:ext>
            </c:extLst>
          </c:dPt>
          <c:dPt>
            <c:idx val="5"/>
            <c:bubble3D val="0"/>
            <c:spPr>
              <a:solidFill>
                <a:srgbClr val="FFD0D4"/>
              </a:solidFill>
            </c:spPr>
            <c:extLst>
              <c:ext xmlns:c16="http://schemas.microsoft.com/office/drawing/2014/chart" uri="{C3380CC4-5D6E-409C-BE32-E72D297353CC}">
                <c16:uniqueId val="{0000000A-37BF-4A41-A2D2-49F4AE8C338E}"/>
              </c:ext>
            </c:extLst>
          </c:dPt>
          <c:dLbls>
            <c:dLbl>
              <c:idx val="0"/>
              <c:layout>
                <c:manualLayout>
                  <c:x val="-3.3097659876310061E-2"/>
                  <c:y val="4.547052918949679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8F8-974E-9E8D-0CE2AF017557}"/>
                </c:ext>
              </c:extLst>
            </c:dLbl>
            <c:dLbl>
              <c:idx val="1"/>
              <c:layout>
                <c:manualLayout>
                  <c:x val="-4.0190015564090874E-2"/>
                  <c:y val="4.547052918949670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8F8-974E-9E8D-0CE2AF017557}"/>
                </c:ext>
              </c:extLst>
            </c:dLbl>
            <c:dLbl>
              <c:idx val="2"/>
              <c:layout>
                <c:manualLayout>
                  <c:x val="-8.5108268253368813E-2"/>
                  <c:y val="1.623947471053455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8F8-974E-9E8D-0CE2AF017557}"/>
                </c:ext>
              </c:extLst>
            </c:dLbl>
            <c:dLbl>
              <c:idx val="3"/>
              <c:layout>
                <c:manualLayout>
                  <c:x val="0"/>
                  <c:y val="-4.871842413160380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8F8-974E-9E8D-0CE2AF017557}"/>
                </c:ext>
              </c:extLst>
            </c:dLbl>
            <c:dLbl>
              <c:idx val="4"/>
              <c:layout>
                <c:manualLayout>
                  <c:x val="7.3287675440400851E-2"/>
                  <c:y val="-7.145368872635206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18F8-974E-9E8D-0CE2AF017557}"/>
                </c:ext>
              </c:extLst>
            </c:dLbl>
            <c:dLbl>
              <c:idx val="5"/>
              <c:layout>
                <c:manualLayout>
                  <c:x val="9.9292979628930189E-2"/>
                  <c:y val="7.145368872635206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37BF-4A41-A2D2-49F4AE8C338E}"/>
                </c:ext>
              </c:extLst>
            </c:dLbl>
            <c:spPr>
              <a:solidFill>
                <a:srgbClr val="FFFFFF"/>
              </a:solidFill>
              <a:ln>
                <a:solidFill>
                  <a:srgbClr val="31216B">
                    <a:lumMod val="65000"/>
                    <a:lumOff val="35000"/>
                  </a:srgbClr>
                </a:solidFill>
              </a:ln>
              <a:effectLst/>
            </c:spPr>
            <c:txPr>
              <a:bodyPr wrap="square" lIns="38100" tIns="19050" rIns="38100" bIns="19050" anchor="ctr">
                <a:spAutoFit/>
              </a:bodyPr>
              <a:lstStyle/>
              <a:p>
                <a:pPr>
                  <a:defRPr b="0" i="0">
                    <a:latin typeface="Trebuchet MS" panose="020B0703020202090204" pitchFamily="34" charset="0"/>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c15:spPr>
              </c:ext>
            </c:extLst>
          </c:dLbls>
          <c:cat>
            <c:strRef>
              <c:f>Calculations!$O$467:$O$472</c:f>
              <c:strCache>
                <c:ptCount val="6"/>
                <c:pt idx="0">
                  <c:v>Asian</c:v>
                </c:pt>
                <c:pt idx="1">
                  <c:v>Black</c:v>
                </c:pt>
                <c:pt idx="2">
                  <c:v>Hispanic or Latino</c:v>
                </c:pt>
                <c:pt idx="3">
                  <c:v>White</c:v>
                </c:pt>
                <c:pt idx="4">
                  <c:v>American Indian/Alaska Native</c:v>
                </c:pt>
                <c:pt idx="5">
                  <c:v>Prefers not to identify</c:v>
                </c:pt>
              </c:strCache>
            </c:strRef>
          </c:cat>
          <c:val>
            <c:numRef>
              <c:f>Calculations!$P$467:$P$472</c:f>
              <c:numCache>
                <c:formatCode>General</c:formatCode>
                <c:ptCount val="6"/>
                <c:pt idx="0">
                  <c:v>#N/A</c:v>
                </c:pt>
                <c:pt idx="1">
                  <c:v>#N/A</c:v>
                </c:pt>
                <c:pt idx="2">
                  <c:v>#N/A</c:v>
                </c:pt>
                <c:pt idx="3">
                  <c:v>#N/A</c:v>
                </c:pt>
                <c:pt idx="4">
                  <c:v>#N/A</c:v>
                </c:pt>
                <c:pt idx="5">
                  <c:v>#N/A</c:v>
                </c:pt>
              </c:numCache>
            </c:numRef>
          </c:val>
          <c:extLst>
            <c:ext xmlns:c16="http://schemas.microsoft.com/office/drawing/2014/chart" uri="{C3380CC4-5D6E-409C-BE32-E72D297353CC}">
              <c16:uniqueId val="{0000000A-18F8-974E-9E8D-0CE2AF017557}"/>
            </c:ext>
          </c:extLst>
        </c:ser>
        <c:dLbls>
          <c:showLegendKey val="0"/>
          <c:showVal val="0"/>
          <c:showCatName val="0"/>
          <c:showSerName val="0"/>
          <c:showPercent val="0"/>
          <c:showBubbleSize val="0"/>
          <c:showLeaderLines val="0"/>
        </c:dLbls>
        <c:firstSliceAng val="0"/>
      </c:pieChart>
    </c:plotArea>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chemeClr val="dk1"/>
                </a:solidFill>
                <a:latin typeface="Trebuchet MS" panose="020B0703020202090204" pitchFamily="34" charset="0"/>
              </a:defRPr>
            </a:pPr>
            <a:r>
              <a:rPr lang="en-US" sz="1800" b="1" i="0">
                <a:solidFill>
                  <a:schemeClr val="dk1"/>
                </a:solidFill>
                <a:latin typeface="Trebuchet MS" panose="020B0703020202090204" pitchFamily="34" charset="0"/>
              </a:rPr>
              <a:t>Employees Per Manager</a:t>
            </a:r>
          </a:p>
        </c:rich>
      </c:tx>
      <c:overlay val="0"/>
    </c:title>
    <c:autoTitleDeleted val="0"/>
    <c:plotArea>
      <c:layout/>
      <c:barChart>
        <c:barDir val="col"/>
        <c:grouping val="clustered"/>
        <c:varyColors val="1"/>
        <c:ser>
          <c:idx val="0"/>
          <c:order val="0"/>
          <c:spPr>
            <a:solidFill>
              <a:srgbClr val="B0E7FF"/>
            </a:solidFill>
            <a:ln cmpd="sng">
              <a:noFill/>
            </a:ln>
          </c:spPr>
          <c:invertIfNegative val="1"/>
          <c:dLbls>
            <c:spPr>
              <a:noFill/>
              <a:ln>
                <a:noFill/>
              </a:ln>
              <a:effectLst/>
            </c:spPr>
            <c:txPr>
              <a:bodyPr/>
              <a:lstStyle/>
              <a:p>
                <a:pPr lvl="0">
                  <a:defRPr sz="1200" b="0" i="0">
                    <a:solidFill>
                      <a:srgbClr val="31216B"/>
                    </a:solidFill>
                    <a:latin typeface="Trebuchet MS" panose="020B070302020209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Calculations!$F$90:$F$104</c:f>
              <c:strCache>
                <c:ptCount val="15"/>
                <c:pt idx="0">
                  <c:v>Manager 1</c:v>
                </c:pt>
                <c:pt idx="1">
                  <c:v>Manager 2</c:v>
                </c:pt>
                <c:pt idx="2">
                  <c:v>Manager 3</c:v>
                </c:pt>
                <c:pt idx="3">
                  <c:v>Manager 4</c:v>
                </c:pt>
                <c:pt idx="4">
                  <c:v>Manager 5</c:v>
                </c:pt>
                <c:pt idx="5">
                  <c:v>Manager 6</c:v>
                </c:pt>
                <c:pt idx="6">
                  <c:v>Manager 7</c:v>
                </c:pt>
                <c:pt idx="7">
                  <c:v>Manager 8</c:v>
                </c:pt>
                <c:pt idx="8">
                  <c:v>Manager 9</c:v>
                </c:pt>
                <c:pt idx="9">
                  <c:v>Manager 10</c:v>
                </c:pt>
                <c:pt idx="10">
                  <c:v>Manager 11</c:v>
                </c:pt>
                <c:pt idx="11">
                  <c:v>Manager 12</c:v>
                </c:pt>
                <c:pt idx="12">
                  <c:v>Manager 13</c:v>
                </c:pt>
                <c:pt idx="13">
                  <c:v>Manager 14</c:v>
                </c:pt>
                <c:pt idx="14">
                  <c:v>Manager 15</c:v>
                </c:pt>
              </c:strCache>
            </c:strRef>
          </c:cat>
          <c:val>
            <c:numRef>
              <c:f>Calculations!$G$90:$G$104</c:f>
              <c:numCache>
                <c:formatCode>General</c:formatCode>
                <c:ptCount val="15"/>
                <c:pt idx="0">
                  <c:v>1</c:v>
                </c:pt>
                <c:pt idx="1">
                  <c:v>3</c:v>
                </c:pt>
                <c:pt idx="2">
                  <c:v>3</c:v>
                </c:pt>
                <c:pt idx="3">
                  <c:v>3</c:v>
                </c:pt>
                <c:pt idx="4">
                  <c:v>2</c:v>
                </c:pt>
                <c:pt idx="5">
                  <c:v>2</c:v>
                </c:pt>
                <c:pt idx="6">
                  <c:v>1</c:v>
                </c:pt>
                <c:pt idx="7">
                  <c:v>1</c:v>
                </c:pt>
                <c:pt idx="8">
                  <c:v>3</c:v>
                </c:pt>
                <c:pt idx="9">
                  <c:v>2</c:v>
                </c:pt>
                <c:pt idx="10">
                  <c:v>0</c:v>
                </c:pt>
                <c:pt idx="11">
                  <c:v>0</c:v>
                </c:pt>
                <c:pt idx="12">
                  <c:v>0</c:v>
                </c:pt>
                <c:pt idx="13">
                  <c:v>0</c:v>
                </c:pt>
                <c:pt idx="14">
                  <c:v>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0-B63C-4449-9EF5-1C67BE59B2D6}"/>
            </c:ext>
          </c:extLst>
        </c:ser>
        <c:dLbls>
          <c:showLegendKey val="0"/>
          <c:showVal val="0"/>
          <c:showCatName val="0"/>
          <c:showSerName val="0"/>
          <c:showPercent val="0"/>
          <c:showBubbleSize val="0"/>
        </c:dLbls>
        <c:gapWidth val="150"/>
        <c:axId val="1368020805"/>
        <c:axId val="1764734064"/>
      </c:barChart>
      <c:catAx>
        <c:axId val="1368020805"/>
        <c:scaling>
          <c:orientation val="minMax"/>
        </c:scaling>
        <c:delete val="0"/>
        <c:axPos val="b"/>
        <c:title>
          <c:tx>
            <c:rich>
              <a:bodyPr/>
              <a:lstStyle/>
              <a:p>
                <a:pPr lvl="0">
                  <a:defRPr b="0">
                    <a:solidFill>
                      <a:srgbClr val="31216B"/>
                    </a:solidFill>
                    <a:latin typeface="sans-serif"/>
                  </a:defRPr>
                </a:pPr>
                <a:endParaRPr lang="en-NL"/>
              </a:p>
            </c:rich>
          </c:tx>
          <c:overlay val="0"/>
        </c:title>
        <c:numFmt formatCode="General" sourceLinked="1"/>
        <c:majorTickMark val="none"/>
        <c:minorTickMark val="none"/>
        <c:tickLblPos val="nextTo"/>
        <c:txPr>
          <a:bodyPr/>
          <a:lstStyle/>
          <a:p>
            <a:pPr lvl="0">
              <a:defRPr sz="1200" b="0" i="0">
                <a:solidFill>
                  <a:srgbClr val="002060"/>
                </a:solidFill>
                <a:latin typeface="Trebuchet MS" panose="020B0703020202090204" pitchFamily="34" charset="0"/>
              </a:defRPr>
            </a:pPr>
            <a:endParaRPr lang="en-US"/>
          </a:p>
        </c:txPr>
        <c:crossAx val="1764734064"/>
        <c:crosses val="autoZero"/>
        <c:auto val="1"/>
        <c:lblAlgn val="ctr"/>
        <c:lblOffset val="100"/>
        <c:noMultiLvlLbl val="1"/>
      </c:catAx>
      <c:valAx>
        <c:axId val="1764734064"/>
        <c:scaling>
          <c:orientation val="minMax"/>
        </c:scaling>
        <c:delete val="1"/>
        <c:axPos val="l"/>
        <c:title>
          <c:tx>
            <c:rich>
              <a:bodyPr/>
              <a:lstStyle/>
              <a:p>
                <a:pPr lvl="0">
                  <a:defRPr b="0">
                    <a:solidFill>
                      <a:srgbClr val="31216B"/>
                    </a:solidFill>
                    <a:latin typeface="sans-serif"/>
                  </a:defRPr>
                </a:pPr>
                <a:endParaRPr lang="en-NL"/>
              </a:p>
            </c:rich>
          </c:tx>
          <c:overlay val="0"/>
        </c:title>
        <c:numFmt formatCode="General" sourceLinked="1"/>
        <c:majorTickMark val="none"/>
        <c:minorTickMark val="none"/>
        <c:tickLblPos val="nextTo"/>
        <c:crossAx val="1368020805"/>
        <c:crosses val="autoZero"/>
        <c:crossBetween val="between"/>
      </c:valAx>
    </c:plotArea>
    <c:plotVisOnly val="1"/>
    <c:dispBlanksAs val="zero"/>
    <c:showDLblsOverMax val="1"/>
  </c:chart>
  <c:spPr>
    <a:solidFill>
      <a:schemeClr val="lt1"/>
    </a:solidFill>
  </c:sp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chemeClr val="dk1"/>
                </a:solidFill>
                <a:latin typeface="Trebuchet MS" panose="020B0703020202090204" pitchFamily="34" charset="0"/>
              </a:defRPr>
            </a:pPr>
            <a:r>
              <a:rPr lang="en-US" sz="1800" b="1" i="0">
                <a:solidFill>
                  <a:schemeClr val="dk1"/>
                </a:solidFill>
                <a:latin typeface="Trebuchet MS" panose="020B0703020202090204" pitchFamily="34" charset="0"/>
              </a:rPr>
              <a:t>Total New Employee Age Group Profile in Q4</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4510-E84D-8684-AD64EECCB3D1}"/>
              </c:ext>
            </c:extLst>
          </c:dPt>
          <c:dPt>
            <c:idx val="1"/>
            <c:bubble3D val="0"/>
            <c:spPr>
              <a:solidFill>
                <a:schemeClr val="accent2"/>
              </a:solidFill>
            </c:spPr>
            <c:extLst>
              <c:ext xmlns:c16="http://schemas.microsoft.com/office/drawing/2014/chart" uri="{C3380CC4-5D6E-409C-BE32-E72D297353CC}">
                <c16:uniqueId val="{00000003-4510-E84D-8684-AD64EECCB3D1}"/>
              </c:ext>
            </c:extLst>
          </c:dPt>
          <c:dPt>
            <c:idx val="2"/>
            <c:bubble3D val="0"/>
            <c:spPr>
              <a:solidFill>
                <a:schemeClr val="accent3"/>
              </a:solidFill>
            </c:spPr>
            <c:extLst>
              <c:ext xmlns:c16="http://schemas.microsoft.com/office/drawing/2014/chart" uri="{C3380CC4-5D6E-409C-BE32-E72D297353CC}">
                <c16:uniqueId val="{00000005-4510-E84D-8684-AD64EECCB3D1}"/>
              </c:ext>
            </c:extLst>
          </c:dPt>
          <c:dPt>
            <c:idx val="3"/>
            <c:bubble3D val="0"/>
            <c:spPr>
              <a:solidFill>
                <a:schemeClr val="accent4"/>
              </a:solidFill>
            </c:spPr>
            <c:extLst>
              <c:ext xmlns:c16="http://schemas.microsoft.com/office/drawing/2014/chart" uri="{C3380CC4-5D6E-409C-BE32-E72D297353CC}">
                <c16:uniqueId val="{00000007-4510-E84D-8684-AD64EECCB3D1}"/>
              </c:ext>
            </c:extLst>
          </c:dPt>
          <c:dPt>
            <c:idx val="4"/>
            <c:bubble3D val="0"/>
            <c:spPr>
              <a:solidFill>
                <a:schemeClr val="accent5"/>
              </a:solidFill>
            </c:spPr>
            <c:extLst>
              <c:ext xmlns:c16="http://schemas.microsoft.com/office/drawing/2014/chart" uri="{C3380CC4-5D6E-409C-BE32-E72D297353CC}">
                <c16:uniqueId val="{00000009-4510-E84D-8684-AD64EECCB3D1}"/>
              </c:ext>
            </c:extLst>
          </c:dPt>
          <c:dPt>
            <c:idx val="5"/>
            <c:bubble3D val="0"/>
            <c:spPr>
              <a:solidFill>
                <a:schemeClr val="accent6"/>
              </a:solidFill>
            </c:spPr>
            <c:extLst>
              <c:ext xmlns:c16="http://schemas.microsoft.com/office/drawing/2014/chart" uri="{C3380CC4-5D6E-409C-BE32-E72D297353CC}">
                <c16:uniqueId val="{0000000B-4510-E84D-8684-AD64EECCB3D1}"/>
              </c:ext>
            </c:extLst>
          </c:dPt>
          <c:dPt>
            <c:idx val="6"/>
            <c:bubble3D val="0"/>
            <c:spPr>
              <a:solidFill>
                <a:schemeClr val="accent1"/>
              </a:solidFill>
            </c:spPr>
            <c:extLst>
              <c:ext xmlns:c16="http://schemas.microsoft.com/office/drawing/2014/chart" uri="{C3380CC4-5D6E-409C-BE32-E72D297353CC}">
                <c16:uniqueId val="{0000000D-4510-E84D-8684-AD64EECCB3D1}"/>
              </c:ext>
            </c:extLst>
          </c:dPt>
          <c:dPt>
            <c:idx val="7"/>
            <c:bubble3D val="0"/>
            <c:spPr>
              <a:solidFill>
                <a:schemeClr val="accent2"/>
              </a:solidFill>
            </c:spPr>
            <c:extLst>
              <c:ext xmlns:c16="http://schemas.microsoft.com/office/drawing/2014/chart" uri="{C3380CC4-5D6E-409C-BE32-E72D297353CC}">
                <c16:uniqueId val="{0000000F-4510-E84D-8684-AD64EECCB3D1}"/>
              </c:ext>
            </c:extLst>
          </c:dPt>
          <c:dPt>
            <c:idx val="8"/>
            <c:bubble3D val="0"/>
            <c:spPr>
              <a:solidFill>
                <a:schemeClr val="accent3"/>
              </a:solidFill>
            </c:spPr>
            <c:extLst>
              <c:ext xmlns:c16="http://schemas.microsoft.com/office/drawing/2014/chart" uri="{C3380CC4-5D6E-409C-BE32-E72D297353CC}">
                <c16:uniqueId val="{00000011-4510-E84D-8684-AD64EECCB3D1}"/>
              </c:ext>
            </c:extLst>
          </c:dPt>
          <c:dLbls>
            <c:dLbl>
              <c:idx val="0"/>
              <c:layout>
                <c:manualLayout>
                  <c:x val="-3.4220708412450479E-2"/>
                  <c:y val="4.680631081749125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510-E84D-8684-AD64EECCB3D1}"/>
                </c:ext>
              </c:extLst>
            </c:dLbl>
            <c:dLbl>
              <c:idx val="1"/>
              <c:layout>
                <c:manualLayout>
                  <c:x val="-4.4914679791341172E-2"/>
                  <c:y val="2.184294504816258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510-E84D-8684-AD64EECCB3D1}"/>
                </c:ext>
              </c:extLst>
            </c:dLbl>
            <c:dLbl>
              <c:idx val="2"/>
              <c:layout>
                <c:manualLayout>
                  <c:x val="-4.2775885515563099E-2"/>
                  <c:y val="-1.872252432699650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510-E84D-8684-AD64EECCB3D1}"/>
                </c:ext>
              </c:extLst>
            </c:dLbl>
            <c:dLbl>
              <c:idx val="3"/>
              <c:layout>
                <c:manualLayout>
                  <c:x val="-4.0637091239785018E-2"/>
                  <c:y val="-4.992673153865746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510-E84D-8684-AD64EECCB3D1}"/>
                </c:ext>
              </c:extLst>
            </c:dLbl>
            <c:dLbl>
              <c:idx val="4"/>
              <c:layout>
                <c:manualLayout>
                  <c:x val="-2.5665531309337936E-2"/>
                  <c:y val="-4.368589009632529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4510-E84D-8684-AD64EECCB3D1}"/>
                </c:ext>
              </c:extLst>
            </c:dLbl>
            <c:dLbl>
              <c:idx val="5"/>
              <c:layout>
                <c:manualLayout>
                  <c:x val="2.5665531309337859E-2"/>
                  <c:y val="-6.552883514448787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4510-E84D-8684-AD64EECCB3D1}"/>
                </c:ext>
              </c:extLst>
            </c:dLbl>
            <c:dLbl>
              <c:idx val="6"/>
              <c:layout>
                <c:manualLayout>
                  <c:x val="3.8498296964006785E-2"/>
                  <c:y val="-5.616757298098951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4510-E84D-8684-AD64EECCB3D1}"/>
                </c:ext>
              </c:extLst>
            </c:dLbl>
            <c:dLbl>
              <c:idx val="7"/>
              <c:layout>
                <c:manualLayout>
                  <c:x val="4.7053474067119405E-2"/>
                  <c:y val="0"/>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4510-E84D-8684-AD64EECCB3D1}"/>
                </c:ext>
              </c:extLst>
            </c:dLbl>
            <c:dLbl>
              <c:idx val="8"/>
              <c:layout>
                <c:manualLayout>
                  <c:x val="4.0637091239784942E-2"/>
                  <c:y val="4.368589009632514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4510-E84D-8684-AD64EECCB3D1}"/>
                </c:ext>
              </c:extLst>
            </c:dLbl>
            <c:spPr>
              <a:solidFill>
                <a:srgbClr val="FFFFFF"/>
              </a:solidFill>
              <a:ln>
                <a:solidFill>
                  <a:srgbClr val="31216B">
                    <a:lumMod val="65000"/>
                    <a:lumOff val="35000"/>
                  </a:srgbClr>
                </a:solidFill>
              </a:ln>
              <a:effectLst/>
            </c:spPr>
            <c:txPr>
              <a:bodyPr wrap="square" lIns="38100" tIns="19050" rIns="38100" bIns="19050" anchor="ctr">
                <a:spAutoFit/>
              </a:bodyPr>
              <a:lstStyle/>
              <a:p>
                <a:pPr>
                  <a:defRPr b="0" i="0">
                    <a:latin typeface="Trebuchet MS" panose="020B0703020202090204" pitchFamily="34" charset="0"/>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c15:spPr>
              </c:ext>
            </c:extLst>
          </c:dLbls>
          <c:cat>
            <c:strRef>
              <c:f>Calculations!$I$502:$I$510</c:f>
              <c:strCache>
                <c:ptCount val="9"/>
                <c:pt idx="0">
                  <c:v>18-25</c:v>
                </c:pt>
                <c:pt idx="1">
                  <c:v>26-30</c:v>
                </c:pt>
                <c:pt idx="2">
                  <c:v>31-35</c:v>
                </c:pt>
                <c:pt idx="3">
                  <c:v>36-40</c:v>
                </c:pt>
                <c:pt idx="4">
                  <c:v>41-45</c:v>
                </c:pt>
                <c:pt idx="5">
                  <c:v>46-50</c:v>
                </c:pt>
                <c:pt idx="6">
                  <c:v>51-55</c:v>
                </c:pt>
                <c:pt idx="7">
                  <c:v>56-60</c:v>
                </c:pt>
                <c:pt idx="8">
                  <c:v>61-65</c:v>
                </c:pt>
              </c:strCache>
            </c:strRef>
          </c:cat>
          <c:val>
            <c:numRef>
              <c:f>Calculations!$J$502:$J$510</c:f>
              <c:numCache>
                <c:formatCode>General</c:formatCode>
                <c:ptCount val="9"/>
                <c:pt idx="0">
                  <c:v>#N/A</c:v>
                </c:pt>
                <c:pt idx="1">
                  <c:v>#N/A</c:v>
                </c:pt>
                <c:pt idx="2">
                  <c:v>#N/A</c:v>
                </c:pt>
                <c:pt idx="3">
                  <c:v>#N/A</c:v>
                </c:pt>
                <c:pt idx="4">
                  <c:v>#N/A</c:v>
                </c:pt>
                <c:pt idx="5">
                  <c:v>#N/A</c:v>
                </c:pt>
                <c:pt idx="6">
                  <c:v>#N/A</c:v>
                </c:pt>
                <c:pt idx="7">
                  <c:v>#N/A</c:v>
                </c:pt>
                <c:pt idx="8">
                  <c:v>#N/A</c:v>
                </c:pt>
              </c:numCache>
            </c:numRef>
          </c:val>
          <c:extLst>
            <c:ext xmlns:c16="http://schemas.microsoft.com/office/drawing/2014/chart" uri="{C3380CC4-5D6E-409C-BE32-E72D297353CC}">
              <c16:uniqueId val="{00000012-4510-E84D-8684-AD64EECCB3D1}"/>
            </c:ext>
          </c:extLst>
        </c:ser>
        <c:dLbls>
          <c:showLegendKey val="0"/>
          <c:showVal val="0"/>
          <c:showCatName val="0"/>
          <c:showSerName val="0"/>
          <c:showPercent val="0"/>
          <c:showBubbleSize val="0"/>
          <c:showLeaderLines val="0"/>
        </c:dLbls>
        <c:firstSliceAng val="0"/>
      </c:pieChart>
    </c:plotArea>
    <c:plotVisOnly val="1"/>
    <c:dispBlanksAs val="zero"/>
    <c:showDLblsOverMax val="1"/>
  </c:chart>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chemeClr val="dk1"/>
                </a:solidFill>
                <a:latin typeface="Trebuchet MS" panose="020B0703020202090204" pitchFamily="34" charset="0"/>
              </a:defRPr>
            </a:pPr>
            <a:r>
              <a:rPr lang="en-US" sz="1800" b="1" i="0">
                <a:solidFill>
                  <a:schemeClr val="dk1"/>
                </a:solidFill>
                <a:latin typeface="Trebuchet MS" panose="020B0703020202090204" pitchFamily="34" charset="0"/>
              </a:rPr>
              <a:t>Total Terminated Employee Age Group Profile in Q4</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ECF9-6F4D-94A9-526B88068732}"/>
              </c:ext>
            </c:extLst>
          </c:dPt>
          <c:dPt>
            <c:idx val="1"/>
            <c:bubble3D val="0"/>
            <c:spPr>
              <a:solidFill>
                <a:schemeClr val="accent2"/>
              </a:solidFill>
            </c:spPr>
            <c:extLst>
              <c:ext xmlns:c16="http://schemas.microsoft.com/office/drawing/2014/chart" uri="{C3380CC4-5D6E-409C-BE32-E72D297353CC}">
                <c16:uniqueId val="{00000003-ECF9-6F4D-94A9-526B88068732}"/>
              </c:ext>
            </c:extLst>
          </c:dPt>
          <c:dPt>
            <c:idx val="2"/>
            <c:bubble3D val="0"/>
            <c:spPr>
              <a:solidFill>
                <a:schemeClr val="accent3"/>
              </a:solidFill>
            </c:spPr>
            <c:extLst>
              <c:ext xmlns:c16="http://schemas.microsoft.com/office/drawing/2014/chart" uri="{C3380CC4-5D6E-409C-BE32-E72D297353CC}">
                <c16:uniqueId val="{00000005-ECF9-6F4D-94A9-526B88068732}"/>
              </c:ext>
            </c:extLst>
          </c:dPt>
          <c:dPt>
            <c:idx val="3"/>
            <c:bubble3D val="0"/>
            <c:spPr>
              <a:solidFill>
                <a:schemeClr val="accent4"/>
              </a:solidFill>
            </c:spPr>
            <c:extLst>
              <c:ext xmlns:c16="http://schemas.microsoft.com/office/drawing/2014/chart" uri="{C3380CC4-5D6E-409C-BE32-E72D297353CC}">
                <c16:uniqueId val="{00000007-ECF9-6F4D-94A9-526B88068732}"/>
              </c:ext>
            </c:extLst>
          </c:dPt>
          <c:dPt>
            <c:idx val="4"/>
            <c:bubble3D val="0"/>
            <c:spPr>
              <a:solidFill>
                <a:schemeClr val="accent5"/>
              </a:solidFill>
            </c:spPr>
            <c:extLst>
              <c:ext xmlns:c16="http://schemas.microsoft.com/office/drawing/2014/chart" uri="{C3380CC4-5D6E-409C-BE32-E72D297353CC}">
                <c16:uniqueId val="{00000009-ECF9-6F4D-94A9-526B88068732}"/>
              </c:ext>
            </c:extLst>
          </c:dPt>
          <c:dPt>
            <c:idx val="5"/>
            <c:bubble3D val="0"/>
            <c:spPr>
              <a:solidFill>
                <a:schemeClr val="accent6"/>
              </a:solidFill>
            </c:spPr>
            <c:extLst>
              <c:ext xmlns:c16="http://schemas.microsoft.com/office/drawing/2014/chart" uri="{C3380CC4-5D6E-409C-BE32-E72D297353CC}">
                <c16:uniqueId val="{0000000B-ECF9-6F4D-94A9-526B88068732}"/>
              </c:ext>
            </c:extLst>
          </c:dPt>
          <c:dPt>
            <c:idx val="6"/>
            <c:bubble3D val="0"/>
            <c:spPr>
              <a:solidFill>
                <a:schemeClr val="accent1"/>
              </a:solidFill>
            </c:spPr>
            <c:extLst>
              <c:ext xmlns:c16="http://schemas.microsoft.com/office/drawing/2014/chart" uri="{C3380CC4-5D6E-409C-BE32-E72D297353CC}">
                <c16:uniqueId val="{0000000D-ECF9-6F4D-94A9-526B88068732}"/>
              </c:ext>
            </c:extLst>
          </c:dPt>
          <c:dPt>
            <c:idx val="7"/>
            <c:bubble3D val="0"/>
            <c:spPr>
              <a:solidFill>
                <a:schemeClr val="accent2"/>
              </a:solidFill>
            </c:spPr>
            <c:extLst>
              <c:ext xmlns:c16="http://schemas.microsoft.com/office/drawing/2014/chart" uri="{C3380CC4-5D6E-409C-BE32-E72D297353CC}">
                <c16:uniqueId val="{0000000F-ECF9-6F4D-94A9-526B88068732}"/>
              </c:ext>
            </c:extLst>
          </c:dPt>
          <c:dPt>
            <c:idx val="8"/>
            <c:bubble3D val="0"/>
            <c:spPr>
              <a:solidFill>
                <a:schemeClr val="accent3"/>
              </a:solidFill>
            </c:spPr>
            <c:extLst>
              <c:ext xmlns:c16="http://schemas.microsoft.com/office/drawing/2014/chart" uri="{C3380CC4-5D6E-409C-BE32-E72D297353CC}">
                <c16:uniqueId val="{00000011-ECF9-6F4D-94A9-526B88068732}"/>
              </c:ext>
            </c:extLst>
          </c:dPt>
          <c:dLbls>
            <c:dLbl>
              <c:idx val="0"/>
              <c:layout>
                <c:manualLayout>
                  <c:x val="-3.0888501862758225E-2"/>
                  <c:y val="4.378631980414857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CF9-6F4D-94A9-526B88068732}"/>
                </c:ext>
              </c:extLst>
            </c:dLbl>
            <c:dLbl>
              <c:idx val="1"/>
              <c:layout>
                <c:manualLayout>
                  <c:x val="-4.9896810701378531E-2"/>
                  <c:y val="5.004150834759836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CF9-6F4D-94A9-526B88068732}"/>
                </c:ext>
              </c:extLst>
            </c:dLbl>
            <c:dLbl>
              <c:idx val="2"/>
              <c:layout>
                <c:manualLayout>
                  <c:x val="-4.5144733491723432E-2"/>
                  <c:y val="6.2551885434497956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CF9-6F4D-94A9-526B88068732}"/>
                </c:ext>
              </c:extLst>
            </c:dLbl>
            <c:dLbl>
              <c:idx val="3"/>
              <c:layout>
                <c:manualLayout>
                  <c:x val="-4.7520772096550985E-2"/>
                  <c:y val="-1.563797135862448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CF9-6F4D-94A9-526B88068732}"/>
                </c:ext>
              </c:extLst>
            </c:dLbl>
            <c:dLbl>
              <c:idx val="4"/>
              <c:layout>
                <c:manualLayout>
                  <c:x val="-4.2768694886895886E-2"/>
                  <c:y val="-5.942429116277317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ECF9-6F4D-94A9-526B88068732}"/>
                </c:ext>
              </c:extLst>
            </c:dLbl>
            <c:dLbl>
              <c:idx val="5"/>
              <c:layout>
                <c:manualLayout>
                  <c:x val="-8.7120409087943413E-17"/>
                  <c:y val="-4.378631980414868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ECF9-6F4D-94A9-526B88068732}"/>
                </c:ext>
              </c:extLst>
            </c:dLbl>
            <c:dLbl>
              <c:idx val="6"/>
              <c:layout>
                <c:manualLayout>
                  <c:x val="-8.7120409087943413E-17"/>
                  <c:y val="-4.691391407587357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ECF9-6F4D-94A9-526B88068732}"/>
                </c:ext>
              </c:extLst>
            </c:dLbl>
            <c:dLbl>
              <c:idx val="7"/>
              <c:layout>
                <c:manualLayout>
                  <c:x val="4.7520772096550985E-2"/>
                  <c:y val="5.316910261932326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ECF9-6F4D-94A9-526B88068732}"/>
                </c:ext>
              </c:extLst>
            </c:dLbl>
            <c:dLbl>
              <c:idx val="8"/>
              <c:layout>
                <c:manualLayout>
                  <c:x val="3.3264540467585688E-2"/>
                  <c:y val="3.75311312606987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ECF9-6F4D-94A9-526B88068732}"/>
                </c:ext>
              </c:extLst>
            </c:dLbl>
            <c:spPr>
              <a:solidFill>
                <a:srgbClr val="FFFFFF"/>
              </a:solidFill>
              <a:ln>
                <a:solidFill>
                  <a:srgbClr val="31216B">
                    <a:lumMod val="65000"/>
                    <a:lumOff val="35000"/>
                  </a:srgbClr>
                </a:solidFill>
              </a:ln>
              <a:effectLst/>
            </c:spPr>
            <c:txPr>
              <a:bodyPr wrap="square" lIns="38100" tIns="19050" rIns="38100" bIns="19050" anchor="ctr">
                <a:spAutoFit/>
              </a:bodyPr>
              <a:lstStyle/>
              <a:p>
                <a:pPr>
                  <a:defRPr b="0" i="0">
                    <a:latin typeface="Trebuchet MS" panose="020B0703020202090204" pitchFamily="34" charset="0"/>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c15:spPr>
              </c:ext>
            </c:extLst>
          </c:dLbls>
          <c:cat>
            <c:strRef>
              <c:f>Calculations!$O$502:$O$510</c:f>
              <c:strCache>
                <c:ptCount val="9"/>
                <c:pt idx="0">
                  <c:v>18-25</c:v>
                </c:pt>
                <c:pt idx="1">
                  <c:v>26-30</c:v>
                </c:pt>
                <c:pt idx="2">
                  <c:v>31-35</c:v>
                </c:pt>
                <c:pt idx="3">
                  <c:v>36-40</c:v>
                </c:pt>
                <c:pt idx="4">
                  <c:v>41-45</c:v>
                </c:pt>
                <c:pt idx="5">
                  <c:v>46-50</c:v>
                </c:pt>
                <c:pt idx="6">
                  <c:v>51-55</c:v>
                </c:pt>
                <c:pt idx="7">
                  <c:v>56-60</c:v>
                </c:pt>
                <c:pt idx="8">
                  <c:v>61-65</c:v>
                </c:pt>
              </c:strCache>
            </c:strRef>
          </c:cat>
          <c:val>
            <c:numRef>
              <c:f>Calculations!$P$502:$P$510</c:f>
              <c:numCache>
                <c:formatCode>General</c:formatCode>
                <c:ptCount val="9"/>
                <c:pt idx="0">
                  <c:v>#N/A</c:v>
                </c:pt>
                <c:pt idx="1">
                  <c:v>#N/A</c:v>
                </c:pt>
                <c:pt idx="2">
                  <c:v>#N/A</c:v>
                </c:pt>
                <c:pt idx="3">
                  <c:v>#N/A</c:v>
                </c:pt>
                <c:pt idx="4">
                  <c:v>#N/A</c:v>
                </c:pt>
                <c:pt idx="5">
                  <c:v>#N/A</c:v>
                </c:pt>
                <c:pt idx="6">
                  <c:v>#N/A</c:v>
                </c:pt>
                <c:pt idx="7">
                  <c:v>#N/A</c:v>
                </c:pt>
                <c:pt idx="8">
                  <c:v>#N/A</c:v>
                </c:pt>
              </c:numCache>
            </c:numRef>
          </c:val>
          <c:extLst>
            <c:ext xmlns:c16="http://schemas.microsoft.com/office/drawing/2014/chart" uri="{C3380CC4-5D6E-409C-BE32-E72D297353CC}">
              <c16:uniqueId val="{00000012-ECF9-6F4D-94A9-526B88068732}"/>
            </c:ext>
          </c:extLst>
        </c:ser>
        <c:dLbls>
          <c:showLegendKey val="0"/>
          <c:showVal val="0"/>
          <c:showCatName val="0"/>
          <c:showSerName val="0"/>
          <c:showPercent val="0"/>
          <c:showBubbleSize val="0"/>
          <c:showLeaderLines val="0"/>
        </c:dLbls>
        <c:firstSliceAng val="0"/>
      </c:pieChart>
    </c:plotArea>
    <c:plotVisOnly val="1"/>
    <c:dispBlanksAs val="zero"/>
    <c:showDLblsOverMax val="1"/>
  </c:chart>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chemeClr val="dk1"/>
                </a:solidFill>
                <a:latin typeface="Trebuchet MS" panose="020B0703020202090204" pitchFamily="34" charset="0"/>
              </a:defRPr>
            </a:pPr>
            <a:r>
              <a:rPr lang="en-US" sz="1800" b="1" i="0">
                <a:solidFill>
                  <a:schemeClr val="dk1"/>
                </a:solidFill>
                <a:latin typeface="Trebuchet MS" panose="020B0703020202090204" pitchFamily="34" charset="0"/>
              </a:rPr>
              <a:t>New Employee per Position in Q4</a:t>
            </a:r>
          </a:p>
        </c:rich>
      </c:tx>
      <c:overlay val="0"/>
    </c:title>
    <c:autoTitleDeleted val="0"/>
    <c:plotArea>
      <c:layout/>
      <c:barChart>
        <c:barDir val="col"/>
        <c:grouping val="clustered"/>
        <c:varyColors val="1"/>
        <c:ser>
          <c:idx val="0"/>
          <c:order val="0"/>
          <c:spPr>
            <a:solidFill>
              <a:srgbClr val="B0E7FF"/>
            </a:solidFill>
            <a:ln cmpd="sng">
              <a:noFill/>
            </a:ln>
          </c:spPr>
          <c:invertIfNegative val="1"/>
          <c:dPt>
            <c:idx val="4"/>
            <c:invertIfNegative val="1"/>
            <c:bubble3D val="0"/>
            <c:extLst>
              <c:ext xmlns:c16="http://schemas.microsoft.com/office/drawing/2014/chart" uri="{C3380CC4-5D6E-409C-BE32-E72D297353CC}">
                <c16:uniqueId val="{00000000-B4AC-5F42-B007-06F6D8F6AAEE}"/>
              </c:ext>
            </c:extLst>
          </c:dPt>
          <c:dLbls>
            <c:spPr>
              <a:noFill/>
              <a:ln>
                <a:noFill/>
              </a:ln>
              <a:effectLst/>
            </c:spPr>
            <c:txPr>
              <a:bodyPr/>
              <a:lstStyle/>
              <a:p>
                <a:pPr lvl="0">
                  <a:defRPr sz="800" b="0" i="0">
                    <a:solidFill>
                      <a:srgbClr val="31216B"/>
                    </a:solidFill>
                    <a:latin typeface="Trebuchet MS" panose="020B070302020209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Calculations!$G$291:$G$340</c:f>
              <c:strCache>
                <c:ptCount val="50"/>
                <c:pt idx="0">
                  <c:v>Position 1</c:v>
                </c:pt>
                <c:pt idx="1">
                  <c:v>Position 2</c:v>
                </c:pt>
                <c:pt idx="2">
                  <c:v>Position 3</c:v>
                </c:pt>
                <c:pt idx="3">
                  <c:v>Position 4</c:v>
                </c:pt>
                <c:pt idx="4">
                  <c:v>Position 5</c:v>
                </c:pt>
                <c:pt idx="5">
                  <c:v>Position 6</c:v>
                </c:pt>
                <c:pt idx="6">
                  <c:v>Position 7</c:v>
                </c:pt>
                <c:pt idx="7">
                  <c:v>Position 8</c:v>
                </c:pt>
                <c:pt idx="8">
                  <c:v>Position 9</c:v>
                </c:pt>
                <c:pt idx="9">
                  <c:v>Position 10</c:v>
                </c:pt>
                <c:pt idx="10">
                  <c:v>Position 11</c:v>
                </c:pt>
                <c:pt idx="11">
                  <c:v>Position 12</c:v>
                </c:pt>
                <c:pt idx="12">
                  <c:v>Position 13</c:v>
                </c:pt>
                <c:pt idx="13">
                  <c:v>Position 14</c:v>
                </c:pt>
                <c:pt idx="14">
                  <c:v>Position 15</c:v>
                </c:pt>
                <c:pt idx="15">
                  <c:v>Position 16</c:v>
                </c:pt>
                <c:pt idx="16">
                  <c:v>Position 17</c:v>
                </c:pt>
                <c:pt idx="17">
                  <c:v>Position 18</c:v>
                </c:pt>
                <c:pt idx="18">
                  <c:v>Position 19</c:v>
                </c:pt>
                <c:pt idx="19">
                  <c:v>Position 20</c:v>
                </c:pt>
                <c:pt idx="20">
                  <c:v>Position 21</c:v>
                </c:pt>
                <c:pt idx="21">
                  <c:v>Position 22</c:v>
                </c:pt>
                <c:pt idx="22">
                  <c:v>Position 23</c:v>
                </c:pt>
                <c:pt idx="23">
                  <c:v>Position 24</c:v>
                </c:pt>
                <c:pt idx="24">
                  <c:v>Position 25</c:v>
                </c:pt>
                <c:pt idx="25">
                  <c:v>Position 26</c:v>
                </c:pt>
                <c:pt idx="26">
                  <c:v>Position 27</c:v>
                </c:pt>
                <c:pt idx="27">
                  <c:v>Position 28</c:v>
                </c:pt>
                <c:pt idx="28">
                  <c:v>Position 29</c:v>
                </c:pt>
                <c:pt idx="29">
                  <c:v>Position 30</c:v>
                </c:pt>
                <c:pt idx="30">
                  <c:v>Position 31</c:v>
                </c:pt>
                <c:pt idx="31">
                  <c:v>Position 32</c:v>
                </c:pt>
                <c:pt idx="32">
                  <c:v>Position 33</c:v>
                </c:pt>
                <c:pt idx="33">
                  <c:v>Position 34</c:v>
                </c:pt>
                <c:pt idx="34">
                  <c:v>Position 35</c:v>
                </c:pt>
                <c:pt idx="35">
                  <c:v>Position 36</c:v>
                </c:pt>
                <c:pt idx="36">
                  <c:v>Position 37</c:v>
                </c:pt>
                <c:pt idx="37">
                  <c:v>Position 38</c:v>
                </c:pt>
                <c:pt idx="38">
                  <c:v>Position 39</c:v>
                </c:pt>
                <c:pt idx="39">
                  <c:v>Position 40</c:v>
                </c:pt>
                <c:pt idx="40">
                  <c:v>Position 41</c:v>
                </c:pt>
                <c:pt idx="41">
                  <c:v>Position 42</c:v>
                </c:pt>
                <c:pt idx="42">
                  <c:v>Position 43</c:v>
                </c:pt>
                <c:pt idx="43">
                  <c:v>Position 44</c:v>
                </c:pt>
                <c:pt idx="44">
                  <c:v>Position 45</c:v>
                </c:pt>
                <c:pt idx="45">
                  <c:v>Position 46</c:v>
                </c:pt>
                <c:pt idx="46">
                  <c:v>Position 47</c:v>
                </c:pt>
                <c:pt idx="47">
                  <c:v>Position 48</c:v>
                </c:pt>
                <c:pt idx="48">
                  <c:v>Position 49</c:v>
                </c:pt>
                <c:pt idx="49">
                  <c:v>Position 50</c:v>
                </c:pt>
              </c:strCache>
            </c:strRef>
          </c:cat>
          <c:val>
            <c:numRef>
              <c:f>Calculations!$H$291:$H$340</c:f>
              <c:numCache>
                <c:formatCode>General</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1-B4AC-5F42-B007-06F6D8F6AAEE}"/>
            </c:ext>
          </c:extLst>
        </c:ser>
        <c:dLbls>
          <c:showLegendKey val="0"/>
          <c:showVal val="0"/>
          <c:showCatName val="0"/>
          <c:showSerName val="0"/>
          <c:showPercent val="0"/>
          <c:showBubbleSize val="0"/>
        </c:dLbls>
        <c:gapWidth val="150"/>
        <c:axId val="977980238"/>
        <c:axId val="1849508367"/>
      </c:barChart>
      <c:catAx>
        <c:axId val="977980238"/>
        <c:scaling>
          <c:orientation val="minMax"/>
        </c:scaling>
        <c:delete val="0"/>
        <c:axPos val="b"/>
        <c:title>
          <c:tx>
            <c:rich>
              <a:bodyPr/>
              <a:lstStyle/>
              <a:p>
                <a:pPr lvl="0">
                  <a:defRPr b="0">
                    <a:solidFill>
                      <a:srgbClr val="31216B"/>
                    </a:solidFill>
                    <a:latin typeface="+mn-lt"/>
                  </a:defRPr>
                </a:pPr>
                <a:endParaRPr lang="en-NL"/>
              </a:p>
            </c:rich>
          </c:tx>
          <c:overlay val="0"/>
        </c:title>
        <c:numFmt formatCode="General" sourceLinked="1"/>
        <c:majorTickMark val="none"/>
        <c:minorTickMark val="none"/>
        <c:tickLblPos val="nextTo"/>
        <c:txPr>
          <a:bodyPr/>
          <a:lstStyle/>
          <a:p>
            <a:pPr lvl="0">
              <a:defRPr sz="1200" b="0" i="0">
                <a:solidFill>
                  <a:schemeClr val="dk1"/>
                </a:solidFill>
                <a:latin typeface="Trebuchet MS" panose="020B0703020202090204" pitchFamily="34" charset="0"/>
              </a:defRPr>
            </a:pPr>
            <a:endParaRPr lang="en-US"/>
          </a:p>
        </c:txPr>
        <c:crossAx val="1849508367"/>
        <c:crosses val="autoZero"/>
        <c:auto val="1"/>
        <c:lblAlgn val="ctr"/>
        <c:lblOffset val="100"/>
        <c:noMultiLvlLbl val="1"/>
      </c:catAx>
      <c:valAx>
        <c:axId val="1849508367"/>
        <c:scaling>
          <c:orientation val="minMax"/>
        </c:scaling>
        <c:delete val="1"/>
        <c:axPos val="l"/>
        <c:title>
          <c:tx>
            <c:rich>
              <a:bodyPr/>
              <a:lstStyle/>
              <a:p>
                <a:pPr lvl="0">
                  <a:defRPr b="0">
                    <a:solidFill>
                      <a:srgbClr val="31216B"/>
                    </a:solidFill>
                    <a:latin typeface="+mn-lt"/>
                  </a:defRPr>
                </a:pPr>
                <a:endParaRPr lang="en-NL"/>
              </a:p>
            </c:rich>
          </c:tx>
          <c:overlay val="0"/>
        </c:title>
        <c:numFmt formatCode="General" sourceLinked="1"/>
        <c:majorTickMark val="none"/>
        <c:minorTickMark val="none"/>
        <c:tickLblPos val="nextTo"/>
        <c:crossAx val="977980238"/>
        <c:crosses val="autoZero"/>
        <c:crossBetween val="between"/>
      </c:valAx>
    </c:plotArea>
    <c:plotVisOnly val="1"/>
    <c:dispBlanksAs val="zero"/>
    <c:showDLblsOverMax val="1"/>
  </c:chart>
  <c:spPr>
    <a:solidFill>
      <a:schemeClr val="lt1"/>
    </a:solidFill>
  </c:sp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chemeClr val="dk1"/>
                </a:solidFill>
                <a:latin typeface="Trebuchet MS" panose="020B0703020202090204" pitchFamily="34" charset="0"/>
              </a:defRPr>
            </a:pPr>
            <a:r>
              <a:rPr lang="en-US" sz="1800" b="1" i="0">
                <a:solidFill>
                  <a:schemeClr val="dk1"/>
                </a:solidFill>
                <a:latin typeface="Trebuchet MS" panose="020B0703020202090204" pitchFamily="34" charset="0"/>
              </a:rPr>
              <a:t>Terminated Employee per Position in Q3</a:t>
            </a:r>
          </a:p>
        </c:rich>
      </c:tx>
      <c:overlay val="0"/>
    </c:title>
    <c:autoTitleDeleted val="0"/>
    <c:plotArea>
      <c:layout/>
      <c:barChart>
        <c:barDir val="col"/>
        <c:grouping val="clustered"/>
        <c:varyColors val="1"/>
        <c:ser>
          <c:idx val="0"/>
          <c:order val="0"/>
          <c:spPr>
            <a:solidFill>
              <a:srgbClr val="B0E7FF"/>
            </a:solidFill>
            <a:ln cmpd="sng">
              <a:noFill/>
            </a:ln>
          </c:spPr>
          <c:invertIfNegative val="1"/>
          <c:dLbls>
            <c:spPr>
              <a:noFill/>
              <a:ln>
                <a:noFill/>
              </a:ln>
              <a:effectLst/>
            </c:spPr>
            <c:txPr>
              <a:bodyPr/>
              <a:lstStyle/>
              <a:p>
                <a:pPr lvl="0">
                  <a:defRPr sz="800" b="0" i="0">
                    <a:solidFill>
                      <a:srgbClr val="31216B"/>
                    </a:solidFill>
                    <a:latin typeface="Trebuchet MS" panose="020B070302020209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Calculations!$M$291:$M$340</c:f>
              <c:strCache>
                <c:ptCount val="50"/>
                <c:pt idx="0">
                  <c:v>Position 1</c:v>
                </c:pt>
                <c:pt idx="1">
                  <c:v>Position 2</c:v>
                </c:pt>
                <c:pt idx="2">
                  <c:v>Position 3</c:v>
                </c:pt>
                <c:pt idx="3">
                  <c:v>Position 4</c:v>
                </c:pt>
                <c:pt idx="4">
                  <c:v>Position 5</c:v>
                </c:pt>
                <c:pt idx="5">
                  <c:v>Position 6</c:v>
                </c:pt>
                <c:pt idx="6">
                  <c:v>Position 7</c:v>
                </c:pt>
                <c:pt idx="7">
                  <c:v>Position 8</c:v>
                </c:pt>
                <c:pt idx="8">
                  <c:v>Position 9</c:v>
                </c:pt>
                <c:pt idx="9">
                  <c:v>Position 10</c:v>
                </c:pt>
                <c:pt idx="10">
                  <c:v>Position 11</c:v>
                </c:pt>
                <c:pt idx="11">
                  <c:v>Position 12</c:v>
                </c:pt>
                <c:pt idx="12">
                  <c:v>Position 13</c:v>
                </c:pt>
                <c:pt idx="13">
                  <c:v>Position 14</c:v>
                </c:pt>
                <c:pt idx="14">
                  <c:v>Position 15</c:v>
                </c:pt>
                <c:pt idx="15">
                  <c:v>Position 16</c:v>
                </c:pt>
                <c:pt idx="16">
                  <c:v>Position 17</c:v>
                </c:pt>
                <c:pt idx="17">
                  <c:v>Position 18</c:v>
                </c:pt>
                <c:pt idx="18">
                  <c:v>Position 19</c:v>
                </c:pt>
                <c:pt idx="19">
                  <c:v>Position 20</c:v>
                </c:pt>
                <c:pt idx="20">
                  <c:v>Position 21</c:v>
                </c:pt>
                <c:pt idx="21">
                  <c:v>Position 22</c:v>
                </c:pt>
                <c:pt idx="22">
                  <c:v>Position 23</c:v>
                </c:pt>
                <c:pt idx="23">
                  <c:v>Position 24</c:v>
                </c:pt>
                <c:pt idx="24">
                  <c:v>Position 25</c:v>
                </c:pt>
                <c:pt idx="25">
                  <c:v>Position 26</c:v>
                </c:pt>
                <c:pt idx="26">
                  <c:v>Position 27</c:v>
                </c:pt>
                <c:pt idx="27">
                  <c:v>Position 28</c:v>
                </c:pt>
                <c:pt idx="28">
                  <c:v>Position 29</c:v>
                </c:pt>
                <c:pt idx="29">
                  <c:v>Position 30</c:v>
                </c:pt>
                <c:pt idx="30">
                  <c:v>Position 31</c:v>
                </c:pt>
                <c:pt idx="31">
                  <c:v>Position 32</c:v>
                </c:pt>
                <c:pt idx="32">
                  <c:v>Position 33</c:v>
                </c:pt>
                <c:pt idx="33">
                  <c:v>Position 34</c:v>
                </c:pt>
                <c:pt idx="34">
                  <c:v>Position 35</c:v>
                </c:pt>
                <c:pt idx="35">
                  <c:v>Position 36</c:v>
                </c:pt>
                <c:pt idx="36">
                  <c:v>Position 37</c:v>
                </c:pt>
                <c:pt idx="37">
                  <c:v>Position 38</c:v>
                </c:pt>
                <c:pt idx="38">
                  <c:v>Position 39</c:v>
                </c:pt>
                <c:pt idx="39">
                  <c:v>Position 40</c:v>
                </c:pt>
                <c:pt idx="40">
                  <c:v>Position 41</c:v>
                </c:pt>
                <c:pt idx="41">
                  <c:v>Position 42</c:v>
                </c:pt>
                <c:pt idx="42">
                  <c:v>Position 43</c:v>
                </c:pt>
                <c:pt idx="43">
                  <c:v>Position 44</c:v>
                </c:pt>
                <c:pt idx="44">
                  <c:v>Position 45</c:v>
                </c:pt>
                <c:pt idx="45">
                  <c:v>Position 46</c:v>
                </c:pt>
                <c:pt idx="46">
                  <c:v>Position 47</c:v>
                </c:pt>
                <c:pt idx="47">
                  <c:v>Position 48</c:v>
                </c:pt>
                <c:pt idx="48">
                  <c:v>Position 49</c:v>
                </c:pt>
                <c:pt idx="49">
                  <c:v>Position 50</c:v>
                </c:pt>
              </c:strCache>
            </c:strRef>
          </c:cat>
          <c:val>
            <c:numRef>
              <c:f>Calculations!$N$291:$N$340</c:f>
              <c:numCache>
                <c:formatCode>General</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0-9F91-A843-A334-678A072C2A18}"/>
            </c:ext>
          </c:extLst>
        </c:ser>
        <c:dLbls>
          <c:showLegendKey val="0"/>
          <c:showVal val="0"/>
          <c:showCatName val="0"/>
          <c:showSerName val="0"/>
          <c:showPercent val="0"/>
          <c:showBubbleSize val="0"/>
        </c:dLbls>
        <c:gapWidth val="150"/>
        <c:axId val="1734860094"/>
        <c:axId val="1400853276"/>
      </c:barChart>
      <c:catAx>
        <c:axId val="1734860094"/>
        <c:scaling>
          <c:orientation val="minMax"/>
        </c:scaling>
        <c:delete val="0"/>
        <c:axPos val="b"/>
        <c:title>
          <c:tx>
            <c:rich>
              <a:bodyPr/>
              <a:lstStyle/>
              <a:p>
                <a:pPr lvl="0">
                  <a:defRPr b="0">
                    <a:solidFill>
                      <a:srgbClr val="31216B"/>
                    </a:solidFill>
                    <a:latin typeface="+mn-lt"/>
                  </a:defRPr>
                </a:pPr>
                <a:endParaRPr lang="en-NL"/>
              </a:p>
            </c:rich>
          </c:tx>
          <c:overlay val="0"/>
        </c:title>
        <c:numFmt formatCode="General" sourceLinked="1"/>
        <c:majorTickMark val="none"/>
        <c:minorTickMark val="none"/>
        <c:tickLblPos val="nextTo"/>
        <c:txPr>
          <a:bodyPr/>
          <a:lstStyle/>
          <a:p>
            <a:pPr lvl="0">
              <a:defRPr sz="1200" b="0" i="0">
                <a:solidFill>
                  <a:schemeClr val="dk1"/>
                </a:solidFill>
                <a:latin typeface="Trebuchet MS" panose="020B0703020202090204" pitchFamily="34" charset="0"/>
              </a:defRPr>
            </a:pPr>
            <a:endParaRPr lang="en-US"/>
          </a:p>
        </c:txPr>
        <c:crossAx val="1400853276"/>
        <c:crosses val="autoZero"/>
        <c:auto val="1"/>
        <c:lblAlgn val="ctr"/>
        <c:lblOffset val="100"/>
        <c:noMultiLvlLbl val="1"/>
      </c:catAx>
      <c:valAx>
        <c:axId val="1400853276"/>
        <c:scaling>
          <c:orientation val="minMax"/>
        </c:scaling>
        <c:delete val="1"/>
        <c:axPos val="l"/>
        <c:title>
          <c:tx>
            <c:rich>
              <a:bodyPr/>
              <a:lstStyle/>
              <a:p>
                <a:pPr lvl="0">
                  <a:defRPr b="0">
                    <a:solidFill>
                      <a:srgbClr val="31216B"/>
                    </a:solidFill>
                    <a:latin typeface="+mn-lt"/>
                  </a:defRPr>
                </a:pPr>
                <a:endParaRPr lang="en-NL"/>
              </a:p>
            </c:rich>
          </c:tx>
          <c:overlay val="0"/>
        </c:title>
        <c:numFmt formatCode="General" sourceLinked="1"/>
        <c:majorTickMark val="none"/>
        <c:minorTickMark val="none"/>
        <c:tickLblPos val="nextTo"/>
        <c:crossAx val="1734860094"/>
        <c:crosses val="autoZero"/>
        <c:crossBetween val="between"/>
      </c:valAx>
    </c:plotArea>
    <c:plotVisOnly val="1"/>
    <c:dispBlanksAs val="zero"/>
    <c:showDLblsOverMax val="1"/>
  </c:chart>
  <c:spPr>
    <a:solidFill>
      <a:schemeClr val="lt1"/>
    </a:solidFill>
  </c:sp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chemeClr val="dk1"/>
                </a:solidFill>
                <a:latin typeface="Trebuchet MS" panose="020B0703020202090204" pitchFamily="34" charset="0"/>
              </a:defRPr>
            </a:pPr>
            <a:r>
              <a:rPr lang="en-US" sz="1800" b="1" i="0">
                <a:solidFill>
                  <a:schemeClr val="dk1"/>
                </a:solidFill>
                <a:latin typeface="Trebuchet MS" panose="020B0703020202090204" pitchFamily="34" charset="0"/>
              </a:rPr>
              <a:t>New Employee per Business Unit in Q4</a:t>
            </a:r>
          </a:p>
        </c:rich>
      </c:tx>
      <c:overlay val="0"/>
    </c:title>
    <c:autoTitleDeleted val="0"/>
    <c:plotArea>
      <c:layout/>
      <c:barChart>
        <c:barDir val="col"/>
        <c:grouping val="clustered"/>
        <c:varyColors val="1"/>
        <c:ser>
          <c:idx val="0"/>
          <c:order val="0"/>
          <c:spPr>
            <a:solidFill>
              <a:srgbClr val="B0E7FF"/>
            </a:solidFill>
            <a:ln cmpd="sng">
              <a:noFill/>
            </a:ln>
          </c:spPr>
          <c:invertIfNegative val="1"/>
          <c:dLbls>
            <c:spPr>
              <a:noFill/>
              <a:ln>
                <a:noFill/>
              </a:ln>
              <a:effectLst/>
            </c:spPr>
            <c:txPr>
              <a:bodyPr/>
              <a:lstStyle/>
              <a:p>
                <a:pPr lvl="0">
                  <a:defRPr sz="800" b="0" i="0">
                    <a:solidFill>
                      <a:srgbClr val="31216B"/>
                    </a:solidFill>
                    <a:latin typeface="Trebuchet MS" panose="020B070302020209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Calculations!$G$385:$G$398</c:f>
              <c:strCache>
                <c:ptCount val="14"/>
                <c:pt idx="0">
                  <c:v>BU 1</c:v>
                </c:pt>
                <c:pt idx="1">
                  <c:v>BU 2</c:v>
                </c:pt>
                <c:pt idx="2">
                  <c:v>BU 3</c:v>
                </c:pt>
                <c:pt idx="3">
                  <c:v>BU 4</c:v>
                </c:pt>
                <c:pt idx="4">
                  <c:v>BU 5</c:v>
                </c:pt>
                <c:pt idx="5">
                  <c:v>BU 6</c:v>
                </c:pt>
                <c:pt idx="6">
                  <c:v>BU 7</c:v>
                </c:pt>
                <c:pt idx="7">
                  <c:v>BU 8</c:v>
                </c:pt>
                <c:pt idx="8">
                  <c:v>BU 9</c:v>
                </c:pt>
                <c:pt idx="9">
                  <c:v>BU 10</c:v>
                </c:pt>
                <c:pt idx="10">
                  <c:v>BU 11</c:v>
                </c:pt>
                <c:pt idx="11">
                  <c:v>BU 12</c:v>
                </c:pt>
                <c:pt idx="12">
                  <c:v>BU 13</c:v>
                </c:pt>
                <c:pt idx="13">
                  <c:v>BU 14</c:v>
                </c:pt>
              </c:strCache>
            </c:strRef>
          </c:cat>
          <c:val>
            <c:numRef>
              <c:f>Calculations!$H$385:$H$398</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0-9A64-084C-8AE3-934B5872AA9B}"/>
            </c:ext>
          </c:extLst>
        </c:ser>
        <c:dLbls>
          <c:showLegendKey val="0"/>
          <c:showVal val="0"/>
          <c:showCatName val="0"/>
          <c:showSerName val="0"/>
          <c:showPercent val="0"/>
          <c:showBubbleSize val="0"/>
        </c:dLbls>
        <c:gapWidth val="150"/>
        <c:axId val="2056602036"/>
        <c:axId val="746476875"/>
      </c:barChart>
      <c:catAx>
        <c:axId val="2056602036"/>
        <c:scaling>
          <c:orientation val="minMax"/>
        </c:scaling>
        <c:delete val="0"/>
        <c:axPos val="b"/>
        <c:title>
          <c:tx>
            <c:rich>
              <a:bodyPr/>
              <a:lstStyle/>
              <a:p>
                <a:pPr lvl="0">
                  <a:defRPr b="0">
                    <a:solidFill>
                      <a:srgbClr val="31216B"/>
                    </a:solidFill>
                    <a:latin typeface="+mn-lt"/>
                  </a:defRPr>
                </a:pPr>
                <a:endParaRPr lang="en-NL"/>
              </a:p>
            </c:rich>
          </c:tx>
          <c:overlay val="0"/>
        </c:title>
        <c:numFmt formatCode="General" sourceLinked="1"/>
        <c:majorTickMark val="none"/>
        <c:minorTickMark val="none"/>
        <c:tickLblPos val="nextTo"/>
        <c:txPr>
          <a:bodyPr/>
          <a:lstStyle/>
          <a:p>
            <a:pPr lvl="0">
              <a:defRPr sz="1200" b="0" i="0">
                <a:solidFill>
                  <a:schemeClr val="dk1"/>
                </a:solidFill>
                <a:latin typeface="Trebuchet MS" panose="020B0703020202090204" pitchFamily="34" charset="0"/>
              </a:defRPr>
            </a:pPr>
            <a:endParaRPr lang="en-US"/>
          </a:p>
        </c:txPr>
        <c:crossAx val="746476875"/>
        <c:crosses val="autoZero"/>
        <c:auto val="1"/>
        <c:lblAlgn val="ctr"/>
        <c:lblOffset val="100"/>
        <c:noMultiLvlLbl val="1"/>
      </c:catAx>
      <c:valAx>
        <c:axId val="746476875"/>
        <c:scaling>
          <c:orientation val="minMax"/>
        </c:scaling>
        <c:delete val="1"/>
        <c:axPos val="l"/>
        <c:title>
          <c:tx>
            <c:rich>
              <a:bodyPr/>
              <a:lstStyle/>
              <a:p>
                <a:pPr lvl="0">
                  <a:defRPr b="0">
                    <a:solidFill>
                      <a:srgbClr val="31216B"/>
                    </a:solidFill>
                    <a:latin typeface="+mn-lt"/>
                  </a:defRPr>
                </a:pPr>
                <a:endParaRPr lang="en-NL"/>
              </a:p>
            </c:rich>
          </c:tx>
          <c:overlay val="0"/>
        </c:title>
        <c:numFmt formatCode="General" sourceLinked="1"/>
        <c:majorTickMark val="none"/>
        <c:minorTickMark val="none"/>
        <c:tickLblPos val="nextTo"/>
        <c:crossAx val="2056602036"/>
        <c:crosses val="autoZero"/>
        <c:crossBetween val="between"/>
      </c:valAx>
    </c:plotArea>
    <c:plotVisOnly val="1"/>
    <c:dispBlanksAs val="zero"/>
    <c:showDLblsOverMax val="1"/>
  </c:chart>
  <c:spPr>
    <a:solidFill>
      <a:schemeClr val="lt1"/>
    </a:solidFill>
  </c:sp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chemeClr val="dk1"/>
                </a:solidFill>
                <a:latin typeface="Trebuchet MS" panose="020B0703020202090204" pitchFamily="34" charset="0"/>
              </a:defRPr>
            </a:pPr>
            <a:r>
              <a:rPr lang="en-US" sz="1800" b="1" i="0">
                <a:solidFill>
                  <a:schemeClr val="dk1"/>
                </a:solidFill>
                <a:latin typeface="Trebuchet MS" panose="020B0703020202090204" pitchFamily="34" charset="0"/>
              </a:rPr>
              <a:t>Terminated Employee per Business Unit in Q4</a:t>
            </a:r>
          </a:p>
        </c:rich>
      </c:tx>
      <c:overlay val="0"/>
    </c:title>
    <c:autoTitleDeleted val="0"/>
    <c:plotArea>
      <c:layout/>
      <c:barChart>
        <c:barDir val="col"/>
        <c:grouping val="clustered"/>
        <c:varyColors val="1"/>
        <c:ser>
          <c:idx val="0"/>
          <c:order val="0"/>
          <c:spPr>
            <a:solidFill>
              <a:srgbClr val="B0E7FF"/>
            </a:solidFill>
            <a:ln cmpd="sng">
              <a:noFill/>
            </a:ln>
          </c:spPr>
          <c:invertIfNegative val="1"/>
          <c:dLbls>
            <c:spPr>
              <a:noFill/>
              <a:ln>
                <a:noFill/>
              </a:ln>
              <a:effectLst/>
            </c:spPr>
            <c:txPr>
              <a:bodyPr/>
              <a:lstStyle/>
              <a:p>
                <a:pPr lvl="0">
                  <a:defRPr sz="800" b="0" i="0">
                    <a:solidFill>
                      <a:srgbClr val="31216B"/>
                    </a:solidFill>
                    <a:latin typeface="Trebuchet MS" panose="020B070302020209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Calculations!$M$385:$M$398</c:f>
              <c:strCache>
                <c:ptCount val="14"/>
                <c:pt idx="0">
                  <c:v>BU 1</c:v>
                </c:pt>
                <c:pt idx="1">
                  <c:v>BU 2</c:v>
                </c:pt>
                <c:pt idx="2">
                  <c:v>BU 3</c:v>
                </c:pt>
                <c:pt idx="3">
                  <c:v>BU 4</c:v>
                </c:pt>
                <c:pt idx="4">
                  <c:v>BU 5</c:v>
                </c:pt>
                <c:pt idx="5">
                  <c:v>BU 6</c:v>
                </c:pt>
                <c:pt idx="6">
                  <c:v>BU 7</c:v>
                </c:pt>
                <c:pt idx="7">
                  <c:v>BU 8</c:v>
                </c:pt>
                <c:pt idx="8">
                  <c:v>BU 9</c:v>
                </c:pt>
                <c:pt idx="9">
                  <c:v>BU 10</c:v>
                </c:pt>
                <c:pt idx="10">
                  <c:v>BU 11</c:v>
                </c:pt>
                <c:pt idx="11">
                  <c:v>BU 12</c:v>
                </c:pt>
                <c:pt idx="12">
                  <c:v>BU 13</c:v>
                </c:pt>
                <c:pt idx="13">
                  <c:v>BU 14</c:v>
                </c:pt>
              </c:strCache>
            </c:strRef>
          </c:cat>
          <c:val>
            <c:numRef>
              <c:f>Calculations!$N$385:$N$398</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0-0B41-2A46-8A74-57835902802B}"/>
            </c:ext>
          </c:extLst>
        </c:ser>
        <c:dLbls>
          <c:showLegendKey val="0"/>
          <c:showVal val="0"/>
          <c:showCatName val="0"/>
          <c:showSerName val="0"/>
          <c:showPercent val="0"/>
          <c:showBubbleSize val="0"/>
        </c:dLbls>
        <c:gapWidth val="150"/>
        <c:axId val="60729071"/>
        <c:axId val="634270119"/>
      </c:barChart>
      <c:catAx>
        <c:axId val="60729071"/>
        <c:scaling>
          <c:orientation val="minMax"/>
        </c:scaling>
        <c:delete val="0"/>
        <c:axPos val="b"/>
        <c:title>
          <c:tx>
            <c:rich>
              <a:bodyPr/>
              <a:lstStyle/>
              <a:p>
                <a:pPr lvl="0">
                  <a:defRPr b="0">
                    <a:solidFill>
                      <a:srgbClr val="31216B"/>
                    </a:solidFill>
                    <a:latin typeface="+mn-lt"/>
                  </a:defRPr>
                </a:pPr>
                <a:endParaRPr lang="en-NL"/>
              </a:p>
            </c:rich>
          </c:tx>
          <c:overlay val="0"/>
        </c:title>
        <c:numFmt formatCode="General" sourceLinked="1"/>
        <c:majorTickMark val="none"/>
        <c:minorTickMark val="none"/>
        <c:tickLblPos val="nextTo"/>
        <c:txPr>
          <a:bodyPr/>
          <a:lstStyle/>
          <a:p>
            <a:pPr lvl="0">
              <a:defRPr sz="1200" b="0" i="0">
                <a:solidFill>
                  <a:schemeClr val="dk1"/>
                </a:solidFill>
                <a:latin typeface="Trebuchet MS" panose="020B0703020202090204" pitchFamily="34" charset="0"/>
              </a:defRPr>
            </a:pPr>
            <a:endParaRPr lang="en-US"/>
          </a:p>
        </c:txPr>
        <c:crossAx val="634270119"/>
        <c:crosses val="autoZero"/>
        <c:auto val="1"/>
        <c:lblAlgn val="ctr"/>
        <c:lblOffset val="100"/>
        <c:noMultiLvlLbl val="1"/>
      </c:catAx>
      <c:valAx>
        <c:axId val="634270119"/>
        <c:scaling>
          <c:orientation val="minMax"/>
        </c:scaling>
        <c:delete val="1"/>
        <c:axPos val="l"/>
        <c:title>
          <c:tx>
            <c:rich>
              <a:bodyPr/>
              <a:lstStyle/>
              <a:p>
                <a:pPr lvl="0">
                  <a:defRPr b="0">
                    <a:solidFill>
                      <a:srgbClr val="31216B"/>
                    </a:solidFill>
                    <a:latin typeface="+mn-lt"/>
                  </a:defRPr>
                </a:pPr>
                <a:endParaRPr lang="en-NL"/>
              </a:p>
            </c:rich>
          </c:tx>
          <c:overlay val="0"/>
        </c:title>
        <c:numFmt formatCode="General" sourceLinked="1"/>
        <c:majorTickMark val="none"/>
        <c:minorTickMark val="none"/>
        <c:tickLblPos val="nextTo"/>
        <c:crossAx val="60729071"/>
        <c:crosses val="autoZero"/>
        <c:crossBetween val="between"/>
      </c:valAx>
    </c:plotArea>
    <c:plotVisOnly val="1"/>
    <c:dispBlanksAs val="zero"/>
    <c:showDLblsOverMax val="1"/>
  </c:chart>
  <c:spPr>
    <a:solidFill>
      <a:schemeClr val="lt1"/>
    </a:solidFill>
  </c:sp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chemeClr val="dk1"/>
                </a:solidFill>
                <a:latin typeface="Trebuchet MS" panose="020B0703020202090204" pitchFamily="34" charset="0"/>
              </a:defRPr>
            </a:pPr>
            <a:r>
              <a:rPr lang="en-US" sz="1800" b="1" i="0">
                <a:solidFill>
                  <a:schemeClr val="dk1"/>
                </a:solidFill>
                <a:latin typeface="Trebuchet MS" panose="020B0703020202090204" pitchFamily="34" charset="0"/>
              </a:rPr>
              <a:t>Total New Employee Occupational Level Profile in Q4</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DDF5-9343-B036-0DFB2A600488}"/>
              </c:ext>
            </c:extLst>
          </c:dPt>
          <c:dPt>
            <c:idx val="1"/>
            <c:bubble3D val="0"/>
            <c:spPr>
              <a:solidFill>
                <a:schemeClr val="accent2"/>
              </a:solidFill>
            </c:spPr>
            <c:extLst>
              <c:ext xmlns:c16="http://schemas.microsoft.com/office/drawing/2014/chart" uri="{C3380CC4-5D6E-409C-BE32-E72D297353CC}">
                <c16:uniqueId val="{00000003-DDF5-9343-B036-0DFB2A600488}"/>
              </c:ext>
            </c:extLst>
          </c:dPt>
          <c:dPt>
            <c:idx val="2"/>
            <c:bubble3D val="0"/>
            <c:spPr>
              <a:solidFill>
                <a:schemeClr val="accent3"/>
              </a:solidFill>
            </c:spPr>
            <c:extLst>
              <c:ext xmlns:c16="http://schemas.microsoft.com/office/drawing/2014/chart" uri="{C3380CC4-5D6E-409C-BE32-E72D297353CC}">
                <c16:uniqueId val="{00000005-DDF5-9343-B036-0DFB2A600488}"/>
              </c:ext>
            </c:extLst>
          </c:dPt>
          <c:dPt>
            <c:idx val="3"/>
            <c:bubble3D val="0"/>
            <c:spPr>
              <a:solidFill>
                <a:schemeClr val="accent4"/>
              </a:solidFill>
            </c:spPr>
            <c:extLst>
              <c:ext xmlns:c16="http://schemas.microsoft.com/office/drawing/2014/chart" uri="{C3380CC4-5D6E-409C-BE32-E72D297353CC}">
                <c16:uniqueId val="{00000007-DDF5-9343-B036-0DFB2A600488}"/>
              </c:ext>
            </c:extLst>
          </c:dPt>
          <c:dPt>
            <c:idx val="4"/>
            <c:bubble3D val="0"/>
            <c:spPr>
              <a:solidFill>
                <a:schemeClr val="accent5"/>
              </a:solidFill>
            </c:spPr>
            <c:extLst>
              <c:ext xmlns:c16="http://schemas.microsoft.com/office/drawing/2014/chart" uri="{C3380CC4-5D6E-409C-BE32-E72D297353CC}">
                <c16:uniqueId val="{00000009-DDF5-9343-B036-0DFB2A600488}"/>
              </c:ext>
            </c:extLst>
          </c:dPt>
          <c:dPt>
            <c:idx val="5"/>
            <c:bubble3D val="0"/>
            <c:spPr>
              <a:solidFill>
                <a:schemeClr val="accent6"/>
              </a:solidFill>
            </c:spPr>
            <c:extLst>
              <c:ext xmlns:c16="http://schemas.microsoft.com/office/drawing/2014/chart" uri="{C3380CC4-5D6E-409C-BE32-E72D297353CC}">
                <c16:uniqueId val="{0000000B-DDF5-9343-B036-0DFB2A600488}"/>
              </c:ext>
            </c:extLst>
          </c:dPt>
          <c:dLbls>
            <c:dLbl>
              <c:idx val="0"/>
              <c:layout>
                <c:manualLayout>
                  <c:x val="-5.1331062618675719E-2"/>
                  <c:y val="4.700892453944825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DF5-9343-B036-0DFB2A600488}"/>
                </c:ext>
              </c:extLst>
            </c:dLbl>
            <c:dLbl>
              <c:idx val="1"/>
              <c:layout>
                <c:manualLayout>
                  <c:x val="-6.8441416824900958E-2"/>
                  <c:y val="-8.461606417100699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DF5-9343-B036-0DFB2A600488}"/>
                </c:ext>
              </c:extLst>
            </c:dLbl>
            <c:dLbl>
              <c:idx val="2"/>
              <c:layout>
                <c:manualLayout>
                  <c:x val="6.8441416824900875E-2"/>
                  <c:y val="-4.387499623681849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DF5-9343-B036-0DFB2A600488}"/>
                </c:ext>
              </c:extLst>
            </c:dLbl>
            <c:dLbl>
              <c:idx val="3"/>
              <c:layout>
                <c:manualLayout>
                  <c:x val="3.6359502688228594E-2"/>
                  <c:y val="-6.894642265785744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DF5-9343-B036-0DFB2A600488}"/>
                </c:ext>
              </c:extLst>
            </c:dLbl>
            <c:dLbl>
              <c:idx val="4"/>
              <c:layout>
                <c:manualLayout>
                  <c:x val="6.4163828273344603E-2"/>
                  <c:y val="-9.4017849078896522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DDF5-9343-B036-0DFB2A600488}"/>
                </c:ext>
              </c:extLst>
            </c:dLbl>
            <c:dLbl>
              <c:idx val="5"/>
              <c:layout>
                <c:manualLayout>
                  <c:x val="6.2025033997566488E-2"/>
                  <c:y val="4.700892453944825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DDF5-9343-B036-0DFB2A600488}"/>
                </c:ext>
              </c:extLst>
            </c:dLbl>
            <c:spPr>
              <a:solidFill>
                <a:srgbClr val="FFFFFF"/>
              </a:solidFill>
              <a:ln>
                <a:solidFill>
                  <a:srgbClr val="31216B">
                    <a:lumMod val="65000"/>
                    <a:lumOff val="35000"/>
                  </a:srgbClr>
                </a:solidFill>
              </a:ln>
              <a:effectLst/>
            </c:spPr>
            <c:txPr>
              <a:bodyPr wrap="square" lIns="38100" tIns="19050" rIns="38100" bIns="19050" anchor="ctr">
                <a:spAutoFit/>
              </a:bodyPr>
              <a:lstStyle/>
              <a:p>
                <a:pPr>
                  <a:defRPr b="0" i="0">
                    <a:latin typeface="Trebuchet MS" panose="020B0703020202090204" pitchFamily="34" charset="0"/>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c15:spPr>
              </c:ext>
            </c:extLst>
          </c:dLbls>
          <c:cat>
            <c:strRef>
              <c:f>Calculations!$I$419:$I$424</c:f>
              <c:strCache>
                <c:ptCount val="6"/>
                <c:pt idx="0">
                  <c:v>Employee</c:v>
                </c:pt>
                <c:pt idx="1">
                  <c:v>Junior Management</c:v>
                </c:pt>
                <c:pt idx="2">
                  <c:v>Management</c:v>
                </c:pt>
                <c:pt idx="3">
                  <c:v>Senior Management</c:v>
                </c:pt>
                <c:pt idx="4">
                  <c:v>Specialist</c:v>
                </c:pt>
                <c:pt idx="5">
                  <c:v>Executive</c:v>
                </c:pt>
              </c:strCache>
            </c:strRef>
          </c:cat>
          <c:val>
            <c:numRef>
              <c:f>Calculations!$J$419:$J$424</c:f>
              <c:numCache>
                <c:formatCode>General</c:formatCode>
                <c:ptCount val="6"/>
                <c:pt idx="0">
                  <c:v>#N/A</c:v>
                </c:pt>
                <c:pt idx="1">
                  <c:v>#N/A</c:v>
                </c:pt>
                <c:pt idx="2">
                  <c:v>#N/A</c:v>
                </c:pt>
                <c:pt idx="3">
                  <c:v>#N/A</c:v>
                </c:pt>
                <c:pt idx="4">
                  <c:v>#N/A</c:v>
                </c:pt>
                <c:pt idx="5">
                  <c:v>#N/A</c:v>
                </c:pt>
              </c:numCache>
            </c:numRef>
          </c:val>
          <c:extLst>
            <c:ext xmlns:c16="http://schemas.microsoft.com/office/drawing/2014/chart" uri="{C3380CC4-5D6E-409C-BE32-E72D297353CC}">
              <c16:uniqueId val="{0000000C-DDF5-9343-B036-0DFB2A600488}"/>
            </c:ext>
          </c:extLst>
        </c:ser>
        <c:dLbls>
          <c:showLegendKey val="0"/>
          <c:showVal val="0"/>
          <c:showCatName val="0"/>
          <c:showSerName val="0"/>
          <c:showPercent val="0"/>
          <c:showBubbleSize val="0"/>
          <c:showLeaderLines val="0"/>
        </c:dLbls>
        <c:firstSliceAng val="0"/>
      </c:pieChart>
    </c:plotArea>
    <c:plotVisOnly val="1"/>
    <c:dispBlanksAs val="zero"/>
    <c:showDLblsOverMax val="1"/>
  </c:chart>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chemeClr val="dk1"/>
                </a:solidFill>
                <a:latin typeface="Trebuchet MS" panose="020B0703020202090204" pitchFamily="34" charset="0"/>
              </a:defRPr>
            </a:pPr>
            <a:r>
              <a:rPr lang="en-US" sz="1800" b="1" i="0">
                <a:solidFill>
                  <a:schemeClr val="dk1"/>
                </a:solidFill>
                <a:latin typeface="Trebuchet MS" panose="020B0703020202090204" pitchFamily="34" charset="0"/>
              </a:rPr>
              <a:t>Total Terminated Employee Occupational Level Profile in Q4</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5D76-FB4B-B0D1-4538D362D8A9}"/>
              </c:ext>
            </c:extLst>
          </c:dPt>
          <c:dPt>
            <c:idx val="1"/>
            <c:bubble3D val="0"/>
            <c:spPr>
              <a:solidFill>
                <a:schemeClr val="accent2"/>
              </a:solidFill>
            </c:spPr>
            <c:extLst>
              <c:ext xmlns:c16="http://schemas.microsoft.com/office/drawing/2014/chart" uri="{C3380CC4-5D6E-409C-BE32-E72D297353CC}">
                <c16:uniqueId val="{00000003-5D76-FB4B-B0D1-4538D362D8A9}"/>
              </c:ext>
            </c:extLst>
          </c:dPt>
          <c:dPt>
            <c:idx val="2"/>
            <c:bubble3D val="0"/>
            <c:spPr>
              <a:solidFill>
                <a:schemeClr val="accent3"/>
              </a:solidFill>
            </c:spPr>
            <c:extLst>
              <c:ext xmlns:c16="http://schemas.microsoft.com/office/drawing/2014/chart" uri="{C3380CC4-5D6E-409C-BE32-E72D297353CC}">
                <c16:uniqueId val="{00000005-5D76-FB4B-B0D1-4538D362D8A9}"/>
              </c:ext>
            </c:extLst>
          </c:dPt>
          <c:dPt>
            <c:idx val="3"/>
            <c:bubble3D val="0"/>
            <c:spPr>
              <a:solidFill>
                <a:schemeClr val="accent4"/>
              </a:solidFill>
            </c:spPr>
            <c:extLst>
              <c:ext xmlns:c16="http://schemas.microsoft.com/office/drawing/2014/chart" uri="{C3380CC4-5D6E-409C-BE32-E72D297353CC}">
                <c16:uniqueId val="{00000007-5D76-FB4B-B0D1-4538D362D8A9}"/>
              </c:ext>
            </c:extLst>
          </c:dPt>
          <c:dPt>
            <c:idx val="4"/>
            <c:bubble3D val="0"/>
            <c:spPr>
              <a:solidFill>
                <a:schemeClr val="accent5"/>
              </a:solidFill>
            </c:spPr>
            <c:extLst>
              <c:ext xmlns:c16="http://schemas.microsoft.com/office/drawing/2014/chart" uri="{C3380CC4-5D6E-409C-BE32-E72D297353CC}">
                <c16:uniqueId val="{00000009-5D76-FB4B-B0D1-4538D362D8A9}"/>
              </c:ext>
            </c:extLst>
          </c:dPt>
          <c:dPt>
            <c:idx val="5"/>
            <c:bubble3D val="0"/>
            <c:spPr>
              <a:solidFill>
                <a:schemeClr val="accent6"/>
              </a:solidFill>
            </c:spPr>
            <c:extLst>
              <c:ext xmlns:c16="http://schemas.microsoft.com/office/drawing/2014/chart" uri="{C3380CC4-5D6E-409C-BE32-E72D297353CC}">
                <c16:uniqueId val="{0000000B-5D76-FB4B-B0D1-4538D362D8A9}"/>
              </c:ext>
            </c:extLst>
          </c:dPt>
          <c:dLbls>
            <c:dLbl>
              <c:idx val="0"/>
              <c:layout>
                <c:manualLayout>
                  <c:x val="0"/>
                  <c:y val="-5.377123390910157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D76-FB4B-B0D1-4538D362D8A9}"/>
                </c:ext>
              </c:extLst>
            </c:dLbl>
            <c:dLbl>
              <c:idx val="1"/>
              <c:layout>
                <c:manualLayout>
                  <c:x val="-4.9563609791851426E-2"/>
                  <c:y val="2.530411007487127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D76-FB4B-B0D1-4538D362D8A9}"/>
                </c:ext>
              </c:extLst>
            </c:dLbl>
            <c:dLbl>
              <c:idx val="2"/>
              <c:layout>
                <c:manualLayout>
                  <c:x val="-4.4843266002151286E-2"/>
                  <c:y val="-6.3260275187178193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D76-FB4B-B0D1-4538D362D8A9}"/>
                </c:ext>
              </c:extLst>
            </c:dLbl>
            <c:dLbl>
              <c:idx val="3"/>
              <c:layout>
                <c:manualLayout>
                  <c:x val="-7.7885672530052241E-2"/>
                  <c:y val="-5.060822014974255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D76-FB4B-B0D1-4538D362D8A9}"/>
                </c:ext>
              </c:extLst>
            </c:dLbl>
            <c:dLbl>
              <c:idx val="4"/>
              <c:layout>
                <c:manualLayout>
                  <c:x val="6.6084813055801897E-2"/>
                  <c:y val="-1.265205503743563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5D76-FB4B-B0D1-4538D362D8A9}"/>
                </c:ext>
              </c:extLst>
            </c:dLbl>
            <c:dLbl>
              <c:idx val="5"/>
              <c:layout>
                <c:manualLayout>
                  <c:x val="6.3724641160951792E-2"/>
                  <c:y val="6.958630270589601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5D76-FB4B-B0D1-4538D362D8A9}"/>
                </c:ext>
              </c:extLst>
            </c:dLbl>
            <c:spPr>
              <a:solidFill>
                <a:srgbClr val="FFFFFF"/>
              </a:solidFill>
              <a:ln>
                <a:solidFill>
                  <a:srgbClr val="31216B">
                    <a:lumMod val="65000"/>
                    <a:lumOff val="35000"/>
                  </a:srgbClr>
                </a:solidFill>
              </a:ln>
              <a:effectLst/>
            </c:spPr>
            <c:txPr>
              <a:bodyPr wrap="square" lIns="38100" tIns="19050" rIns="38100" bIns="19050" anchor="ctr">
                <a:spAutoFit/>
              </a:bodyPr>
              <a:lstStyle/>
              <a:p>
                <a:pPr>
                  <a:defRPr b="0" i="0">
                    <a:latin typeface="Trebuchet MS" panose="020B0703020202090204" pitchFamily="34" charset="0"/>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c15:spPr>
              </c:ext>
            </c:extLst>
          </c:dLbls>
          <c:cat>
            <c:strRef>
              <c:f>Calculations!$O$419:$O$424</c:f>
              <c:strCache>
                <c:ptCount val="6"/>
                <c:pt idx="0">
                  <c:v>Employee</c:v>
                </c:pt>
                <c:pt idx="1">
                  <c:v>Junior Management</c:v>
                </c:pt>
                <c:pt idx="2">
                  <c:v>Management</c:v>
                </c:pt>
                <c:pt idx="3">
                  <c:v>Senior Management</c:v>
                </c:pt>
                <c:pt idx="4">
                  <c:v>Specialist</c:v>
                </c:pt>
                <c:pt idx="5">
                  <c:v>Executive</c:v>
                </c:pt>
              </c:strCache>
            </c:strRef>
          </c:cat>
          <c:val>
            <c:numRef>
              <c:f>Calculations!$P$419:$P$424</c:f>
              <c:numCache>
                <c:formatCode>General</c:formatCode>
                <c:ptCount val="6"/>
                <c:pt idx="0">
                  <c:v>#N/A</c:v>
                </c:pt>
                <c:pt idx="1">
                  <c:v>#N/A</c:v>
                </c:pt>
                <c:pt idx="2">
                  <c:v>#N/A</c:v>
                </c:pt>
                <c:pt idx="3">
                  <c:v>#N/A</c:v>
                </c:pt>
                <c:pt idx="4">
                  <c:v>#N/A</c:v>
                </c:pt>
                <c:pt idx="5">
                  <c:v>#N/A</c:v>
                </c:pt>
              </c:numCache>
            </c:numRef>
          </c:val>
          <c:extLst>
            <c:ext xmlns:c16="http://schemas.microsoft.com/office/drawing/2014/chart" uri="{C3380CC4-5D6E-409C-BE32-E72D297353CC}">
              <c16:uniqueId val="{0000000C-5D76-FB4B-B0D1-4538D362D8A9}"/>
            </c:ext>
          </c:extLst>
        </c:ser>
        <c:dLbls>
          <c:showLegendKey val="0"/>
          <c:showVal val="0"/>
          <c:showCatName val="0"/>
          <c:showSerName val="0"/>
          <c:showPercent val="0"/>
          <c:showBubbleSize val="0"/>
          <c:showLeaderLines val="0"/>
        </c:dLbls>
        <c:firstSliceAng val="0"/>
      </c:pieChart>
    </c:plotArea>
    <c:plotVisOnly val="1"/>
    <c:dispBlanksAs val="zero"/>
    <c:showDLblsOverMax val="1"/>
  </c:chart>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800" b="1" i="0">
                <a:solidFill>
                  <a:schemeClr val="dk1"/>
                </a:solidFill>
                <a:latin typeface="Trebuchet MS" panose="020B0703020202090204" pitchFamily="34" charset="0"/>
              </a:defRPr>
            </a:pPr>
            <a:r>
              <a:rPr lang="en-US" sz="1800" b="1" i="0">
                <a:solidFill>
                  <a:schemeClr val="dk1"/>
                </a:solidFill>
                <a:latin typeface="Trebuchet MS" panose="020B0703020202090204" pitchFamily="34" charset="0"/>
              </a:rPr>
              <a:t>Total Gender Profile</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4669-DA4E-919E-76F58B3F46DA}"/>
              </c:ext>
            </c:extLst>
          </c:dPt>
          <c:dPt>
            <c:idx val="1"/>
            <c:bubble3D val="0"/>
            <c:spPr>
              <a:solidFill>
                <a:schemeClr val="accent2"/>
              </a:solidFill>
            </c:spPr>
            <c:extLst>
              <c:ext xmlns:c16="http://schemas.microsoft.com/office/drawing/2014/chart" uri="{C3380CC4-5D6E-409C-BE32-E72D297353CC}">
                <c16:uniqueId val="{00000003-4669-DA4E-919E-76F58B3F46DA}"/>
              </c:ext>
            </c:extLst>
          </c:dPt>
          <c:dPt>
            <c:idx val="2"/>
            <c:bubble3D val="0"/>
            <c:spPr>
              <a:solidFill>
                <a:schemeClr val="accent3"/>
              </a:solidFill>
            </c:spPr>
            <c:extLst>
              <c:ext xmlns:c16="http://schemas.microsoft.com/office/drawing/2014/chart" uri="{C3380CC4-5D6E-409C-BE32-E72D297353CC}">
                <c16:uniqueId val="{00000005-4669-DA4E-919E-76F58B3F46DA}"/>
              </c:ext>
            </c:extLst>
          </c:dPt>
          <c:dPt>
            <c:idx val="3"/>
            <c:bubble3D val="0"/>
            <c:spPr>
              <a:solidFill>
                <a:schemeClr val="accent4"/>
              </a:solidFill>
            </c:spPr>
            <c:extLst>
              <c:ext xmlns:c16="http://schemas.microsoft.com/office/drawing/2014/chart" uri="{C3380CC4-5D6E-409C-BE32-E72D297353CC}">
                <c16:uniqueId val="{00000007-4669-DA4E-919E-76F58B3F46DA}"/>
              </c:ext>
            </c:extLst>
          </c:dPt>
          <c:dPt>
            <c:idx val="4"/>
            <c:bubble3D val="0"/>
            <c:spPr>
              <a:solidFill>
                <a:schemeClr val="accent5"/>
              </a:solidFill>
            </c:spPr>
            <c:extLst>
              <c:ext xmlns:c16="http://schemas.microsoft.com/office/drawing/2014/chart" uri="{C3380CC4-5D6E-409C-BE32-E72D297353CC}">
                <c16:uniqueId val="{00000009-4669-DA4E-919E-76F58B3F46DA}"/>
              </c:ext>
            </c:extLst>
          </c:dPt>
          <c:dLbls>
            <c:dLbl>
              <c:idx val="0"/>
              <c:layout>
                <c:manualLayout>
                  <c:x val="-3.766423732885097E-2"/>
                  <c:y val="2.643026388481335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669-DA4E-919E-76F58B3F46DA}"/>
                </c:ext>
              </c:extLst>
            </c:dLbl>
            <c:dLbl>
              <c:idx val="1"/>
              <c:layout>
                <c:manualLayout>
                  <c:x val="-3.766423732885097E-2"/>
                  <c:y val="-1.626477777526975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669-DA4E-919E-76F58B3F46DA}"/>
                </c:ext>
              </c:extLst>
            </c:dLbl>
            <c:dLbl>
              <c:idx val="2"/>
              <c:layout>
                <c:manualLayout>
                  <c:x val="1.6739661035044876E-2"/>
                  <c:y val="-3.6595749994357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669-DA4E-919E-76F58B3F46DA}"/>
                </c:ext>
              </c:extLst>
            </c:dLbl>
            <c:dLbl>
              <c:idx val="3"/>
              <c:layout>
                <c:manualLayout>
                  <c:x val="4.812652547575403E-2"/>
                  <c:y val="-4.0661944438175135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669-DA4E-919E-76F58B3F46DA}"/>
                </c:ext>
              </c:extLst>
            </c:dLbl>
            <c:dLbl>
              <c:idx val="4"/>
              <c:layout>
                <c:manualLayout>
                  <c:x val="3.9756694958231559E-2"/>
                  <c:y val="3.862884721626567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4669-DA4E-919E-76F58B3F46DA}"/>
                </c:ext>
              </c:extLst>
            </c:dLbl>
            <c:spPr>
              <a:solidFill>
                <a:srgbClr val="FFFFFF"/>
              </a:solidFill>
              <a:ln>
                <a:solidFill>
                  <a:srgbClr val="31216B">
                    <a:lumMod val="65000"/>
                    <a:lumOff val="35000"/>
                  </a:srgbClr>
                </a:solidFill>
              </a:ln>
              <a:effectLst/>
            </c:spPr>
            <c:txPr>
              <a:bodyPr wrap="square" lIns="38100" tIns="19050" rIns="38100" bIns="19050" anchor="ctr">
                <a:spAutoFit/>
              </a:bodyPr>
              <a:lstStyle/>
              <a:p>
                <a:pPr>
                  <a:defRPr b="0" i="0">
                    <a:latin typeface="Trebuchet MS" panose="020B0703020202090204" pitchFamily="34" charset="0"/>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c15:spPr>
              </c:ext>
            </c:extLst>
          </c:dLbls>
          <c:cat>
            <c:strRef>
              <c:f>Calculations!$C$18:$C$22</c:f>
              <c:strCache>
                <c:ptCount val="5"/>
                <c:pt idx="0">
                  <c:v>Female</c:v>
                </c:pt>
                <c:pt idx="1">
                  <c:v>Male</c:v>
                </c:pt>
                <c:pt idx="2">
                  <c:v>Nonbinary</c:v>
                </c:pt>
                <c:pt idx="3">
                  <c:v>Other</c:v>
                </c:pt>
                <c:pt idx="4">
                  <c:v>Prefers not to disclose</c:v>
                </c:pt>
              </c:strCache>
            </c:strRef>
          </c:cat>
          <c:val>
            <c:numRef>
              <c:f>Calculations!$D$18:$D$22</c:f>
              <c:numCache>
                <c:formatCode>General</c:formatCode>
                <c:ptCount val="5"/>
                <c:pt idx="0">
                  <c:v>5</c:v>
                </c:pt>
                <c:pt idx="1">
                  <c:v>5</c:v>
                </c:pt>
                <c:pt idx="2">
                  <c:v>3</c:v>
                </c:pt>
                <c:pt idx="3">
                  <c:v>4</c:v>
                </c:pt>
                <c:pt idx="4">
                  <c:v>4</c:v>
                </c:pt>
              </c:numCache>
            </c:numRef>
          </c:val>
          <c:extLst>
            <c:ext xmlns:c16="http://schemas.microsoft.com/office/drawing/2014/chart" uri="{C3380CC4-5D6E-409C-BE32-E72D297353CC}">
              <c16:uniqueId val="{0000000A-4669-DA4E-919E-76F58B3F46DA}"/>
            </c:ext>
          </c:extLst>
        </c:ser>
        <c:dLbls>
          <c:showLegendKey val="0"/>
          <c:showVal val="0"/>
          <c:showCatName val="0"/>
          <c:showSerName val="0"/>
          <c:showPercent val="0"/>
          <c:showBubbleSize val="0"/>
          <c:showLeaderLines val="0"/>
        </c:dLbls>
        <c:firstSliceAng val="0"/>
      </c:pieChart>
    </c:plotArea>
    <c:plotVisOnly val="1"/>
    <c:dispBlanksAs val="zero"/>
    <c:showDLblsOverMax val="1"/>
  </c:chart>
  <c:spPr>
    <a:solidFill>
      <a:srgbClr val="FFFFFF"/>
    </a:solidFill>
  </c:sp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800" b="1" i="0">
                <a:solidFill>
                  <a:schemeClr val="dk1"/>
                </a:solidFill>
                <a:latin typeface="Trebuchet MS" panose="020B0703020202090204" pitchFamily="34" charset="0"/>
              </a:defRPr>
            </a:pPr>
            <a:r>
              <a:rPr lang="en-US" sz="1800" b="1" i="0">
                <a:solidFill>
                  <a:schemeClr val="dk1"/>
                </a:solidFill>
                <a:latin typeface="Trebuchet MS" panose="020B0703020202090204" pitchFamily="34" charset="0"/>
              </a:rPr>
              <a:t>Total Race Profile</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8379-EF4E-9976-B6E61B035508}"/>
              </c:ext>
            </c:extLst>
          </c:dPt>
          <c:dPt>
            <c:idx val="1"/>
            <c:bubble3D val="0"/>
            <c:spPr>
              <a:solidFill>
                <a:schemeClr val="accent2"/>
              </a:solidFill>
            </c:spPr>
            <c:extLst>
              <c:ext xmlns:c16="http://schemas.microsoft.com/office/drawing/2014/chart" uri="{C3380CC4-5D6E-409C-BE32-E72D297353CC}">
                <c16:uniqueId val="{00000003-8379-EF4E-9976-B6E61B035508}"/>
              </c:ext>
            </c:extLst>
          </c:dPt>
          <c:dPt>
            <c:idx val="2"/>
            <c:bubble3D val="0"/>
            <c:spPr>
              <a:solidFill>
                <a:schemeClr val="accent3"/>
              </a:solidFill>
            </c:spPr>
            <c:extLst>
              <c:ext xmlns:c16="http://schemas.microsoft.com/office/drawing/2014/chart" uri="{C3380CC4-5D6E-409C-BE32-E72D297353CC}">
                <c16:uniqueId val="{00000005-8379-EF4E-9976-B6E61B035508}"/>
              </c:ext>
            </c:extLst>
          </c:dPt>
          <c:dPt>
            <c:idx val="3"/>
            <c:bubble3D val="0"/>
            <c:spPr>
              <a:solidFill>
                <a:schemeClr val="accent4"/>
              </a:solidFill>
            </c:spPr>
            <c:extLst>
              <c:ext xmlns:c16="http://schemas.microsoft.com/office/drawing/2014/chart" uri="{C3380CC4-5D6E-409C-BE32-E72D297353CC}">
                <c16:uniqueId val="{00000007-8379-EF4E-9976-B6E61B035508}"/>
              </c:ext>
            </c:extLst>
          </c:dPt>
          <c:dPt>
            <c:idx val="4"/>
            <c:bubble3D val="0"/>
            <c:spPr>
              <a:solidFill>
                <a:schemeClr val="accent5"/>
              </a:solidFill>
            </c:spPr>
            <c:extLst>
              <c:ext xmlns:c16="http://schemas.microsoft.com/office/drawing/2014/chart" uri="{C3380CC4-5D6E-409C-BE32-E72D297353CC}">
                <c16:uniqueId val="{00000009-8379-EF4E-9976-B6E61B035508}"/>
              </c:ext>
            </c:extLst>
          </c:dPt>
          <c:dPt>
            <c:idx val="5"/>
            <c:bubble3D val="0"/>
            <c:spPr>
              <a:solidFill>
                <a:srgbClr val="FFD0D4"/>
              </a:solidFill>
            </c:spPr>
            <c:extLst>
              <c:ext xmlns:c16="http://schemas.microsoft.com/office/drawing/2014/chart" uri="{C3380CC4-5D6E-409C-BE32-E72D297353CC}">
                <c16:uniqueId val="{0000000A-299E-F24F-A120-D832324C6009}"/>
              </c:ext>
            </c:extLst>
          </c:dPt>
          <c:dLbls>
            <c:dLbl>
              <c:idx val="0"/>
              <c:layout>
                <c:manualLayout>
                  <c:x val="-2.9190596561379633E-2"/>
                  <c:y val="3.862884721626567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379-EF4E-9976-B6E61B035508}"/>
                </c:ext>
              </c:extLst>
            </c:dLbl>
            <c:dLbl>
              <c:idx val="1"/>
              <c:layout>
                <c:manualLayout>
                  <c:x val="-5.6135762618037599E-2"/>
                  <c:y val="2.0330972219087199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379-EF4E-9976-B6E61B035508}"/>
                </c:ext>
              </c:extLst>
            </c:dLbl>
            <c:dLbl>
              <c:idx val="2"/>
              <c:layout>
                <c:manualLayout>
                  <c:x val="-7.409920665580963E-2"/>
                  <c:y val="-4.066194443817439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379-EF4E-9976-B6E61B035508}"/>
                </c:ext>
              </c:extLst>
            </c:dLbl>
            <c:dLbl>
              <c:idx val="3"/>
              <c:layout>
                <c:manualLayout>
                  <c:x val="2.4699735551936542E-2"/>
                  <c:y val="-3.049645832863094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379-EF4E-9976-B6E61B035508}"/>
                </c:ext>
              </c:extLst>
            </c:dLbl>
            <c:dLbl>
              <c:idx val="4"/>
              <c:layout>
                <c:manualLayout>
                  <c:x val="5.6135762618037599E-2"/>
                  <c:y val="-1.829787499717847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8379-EF4E-9976-B6E61B035508}"/>
                </c:ext>
              </c:extLst>
            </c:dLbl>
            <c:dLbl>
              <c:idx val="5"/>
              <c:layout>
                <c:manualLayout>
                  <c:x val="6.0626623627480607E-2"/>
                  <c:y val="5.286052776962671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299E-F24F-A120-D832324C6009}"/>
                </c:ext>
              </c:extLst>
            </c:dLbl>
            <c:spPr>
              <a:solidFill>
                <a:srgbClr val="FFFFFF"/>
              </a:solidFill>
              <a:ln>
                <a:solidFill>
                  <a:srgbClr val="31216B">
                    <a:lumMod val="65000"/>
                    <a:lumOff val="35000"/>
                  </a:srgbClr>
                </a:solidFill>
              </a:ln>
              <a:effectLst/>
            </c:spPr>
            <c:txPr>
              <a:bodyPr wrap="square" lIns="38100" tIns="19050" rIns="38100" bIns="19050" anchor="ctr">
                <a:spAutoFit/>
              </a:bodyPr>
              <a:lstStyle/>
              <a:p>
                <a:pPr>
                  <a:defRPr b="0" i="0">
                    <a:latin typeface="Trebuchet MS" panose="020B0703020202090204" pitchFamily="34" charset="0"/>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c15:spPr>
              </c:ext>
            </c:extLst>
          </c:dLbls>
          <c:cat>
            <c:strRef>
              <c:f>Calculations!$C$24:$C$29</c:f>
              <c:strCache>
                <c:ptCount val="6"/>
                <c:pt idx="0">
                  <c:v>Asian</c:v>
                </c:pt>
                <c:pt idx="1">
                  <c:v>Black</c:v>
                </c:pt>
                <c:pt idx="2">
                  <c:v>Hispanic or Latino</c:v>
                </c:pt>
                <c:pt idx="3">
                  <c:v>White</c:v>
                </c:pt>
                <c:pt idx="4">
                  <c:v>American Indian/Alaska Native</c:v>
                </c:pt>
                <c:pt idx="5">
                  <c:v>Prefers not to identify</c:v>
                </c:pt>
              </c:strCache>
            </c:strRef>
          </c:cat>
          <c:val>
            <c:numRef>
              <c:f>Calculations!$D$24:$D$29</c:f>
              <c:numCache>
                <c:formatCode>General</c:formatCode>
                <c:ptCount val="6"/>
                <c:pt idx="0">
                  <c:v>5</c:v>
                </c:pt>
                <c:pt idx="1">
                  <c:v>3</c:v>
                </c:pt>
                <c:pt idx="2">
                  <c:v>4</c:v>
                </c:pt>
                <c:pt idx="3">
                  <c:v>3</c:v>
                </c:pt>
                <c:pt idx="4">
                  <c:v>3</c:v>
                </c:pt>
                <c:pt idx="5">
                  <c:v>3</c:v>
                </c:pt>
              </c:numCache>
            </c:numRef>
          </c:val>
          <c:extLst>
            <c:ext xmlns:c16="http://schemas.microsoft.com/office/drawing/2014/chart" uri="{C3380CC4-5D6E-409C-BE32-E72D297353CC}">
              <c16:uniqueId val="{0000000A-8379-EF4E-9976-B6E61B035508}"/>
            </c:ext>
          </c:extLst>
        </c:ser>
        <c:dLbls>
          <c:showLegendKey val="0"/>
          <c:showVal val="0"/>
          <c:showCatName val="0"/>
          <c:showSerName val="0"/>
          <c:showPercent val="0"/>
          <c:showBubbleSize val="0"/>
          <c:showLeaderLines val="0"/>
        </c:dLbls>
        <c:firstSliceAng val="0"/>
      </c:pieChart>
    </c:plotArea>
    <c:plotVisOnly val="1"/>
    <c:dispBlanksAs val="zero"/>
    <c:showDLblsOverMax val="1"/>
  </c:chart>
  <c:spPr>
    <a:solidFill>
      <a:srgbClr val="FFFFFF"/>
    </a:solidFill>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chemeClr val="dk1"/>
                </a:solidFill>
                <a:latin typeface="Trebuchet MS" panose="020B0703020202090204" pitchFamily="34" charset="0"/>
              </a:defRPr>
            </a:pPr>
            <a:r>
              <a:rPr lang="en-US" sz="1800" b="1" i="0">
                <a:solidFill>
                  <a:schemeClr val="dk1"/>
                </a:solidFill>
                <a:latin typeface="Trebuchet MS" panose="020B0703020202090204" pitchFamily="34" charset="0"/>
              </a:rPr>
              <a:t>Employees Per Position</a:t>
            </a:r>
          </a:p>
        </c:rich>
      </c:tx>
      <c:overlay val="0"/>
    </c:title>
    <c:autoTitleDeleted val="0"/>
    <c:plotArea>
      <c:layout/>
      <c:barChart>
        <c:barDir val="bar"/>
        <c:grouping val="clustered"/>
        <c:varyColors val="1"/>
        <c:ser>
          <c:idx val="0"/>
          <c:order val="0"/>
          <c:spPr>
            <a:solidFill>
              <a:srgbClr val="B0E7FF"/>
            </a:solidFill>
            <a:ln cmpd="sng">
              <a:noFill/>
            </a:ln>
          </c:spPr>
          <c:invertIfNegative val="1"/>
          <c:dLbls>
            <c:spPr>
              <a:noFill/>
              <a:ln>
                <a:noFill/>
              </a:ln>
              <a:effectLst/>
            </c:spPr>
            <c:txPr>
              <a:bodyPr/>
              <a:lstStyle/>
              <a:p>
                <a:pPr lvl="0">
                  <a:defRPr sz="1200" b="0" i="0">
                    <a:solidFill>
                      <a:srgbClr val="31216B"/>
                    </a:solidFill>
                    <a:latin typeface="Trebuchet MS" panose="020B070302020209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Calculations!$F$38:$F$62</c:f>
              <c:strCache>
                <c:ptCount val="25"/>
                <c:pt idx="0">
                  <c:v>Position 1</c:v>
                </c:pt>
                <c:pt idx="1">
                  <c:v>Position 2</c:v>
                </c:pt>
                <c:pt idx="2">
                  <c:v>Position 3</c:v>
                </c:pt>
                <c:pt idx="3">
                  <c:v>Position 4</c:v>
                </c:pt>
                <c:pt idx="4">
                  <c:v>Position 5</c:v>
                </c:pt>
                <c:pt idx="5">
                  <c:v>Position 6</c:v>
                </c:pt>
                <c:pt idx="6">
                  <c:v>Position 7</c:v>
                </c:pt>
                <c:pt idx="7">
                  <c:v>Position 8</c:v>
                </c:pt>
                <c:pt idx="8">
                  <c:v>Position 9</c:v>
                </c:pt>
                <c:pt idx="9">
                  <c:v>Position 10</c:v>
                </c:pt>
                <c:pt idx="10">
                  <c:v>Position 11</c:v>
                </c:pt>
                <c:pt idx="11">
                  <c:v>Position 12</c:v>
                </c:pt>
                <c:pt idx="12">
                  <c:v>Position 13</c:v>
                </c:pt>
                <c:pt idx="13">
                  <c:v>Position 14</c:v>
                </c:pt>
                <c:pt idx="14">
                  <c:v>Position 15</c:v>
                </c:pt>
                <c:pt idx="15">
                  <c:v>Position 16</c:v>
                </c:pt>
                <c:pt idx="16">
                  <c:v>Position 17</c:v>
                </c:pt>
                <c:pt idx="17">
                  <c:v>Position 18</c:v>
                </c:pt>
                <c:pt idx="18">
                  <c:v>Position 19</c:v>
                </c:pt>
                <c:pt idx="19">
                  <c:v>Position 20</c:v>
                </c:pt>
                <c:pt idx="20">
                  <c:v>Position 21</c:v>
                </c:pt>
                <c:pt idx="21">
                  <c:v>Position 22</c:v>
                </c:pt>
                <c:pt idx="22">
                  <c:v>Position 23</c:v>
                </c:pt>
                <c:pt idx="23">
                  <c:v>Position 24</c:v>
                </c:pt>
                <c:pt idx="24">
                  <c:v>Position 25</c:v>
                </c:pt>
              </c:strCache>
            </c:strRef>
          </c:cat>
          <c:val>
            <c:numRef>
              <c:f>Calculations!$G$38:$G$62</c:f>
              <c:numCache>
                <c:formatCode>General</c:formatCode>
                <c:ptCount val="25"/>
                <c:pt idx="0">
                  <c:v>3</c:v>
                </c:pt>
                <c:pt idx="1">
                  <c:v>2</c:v>
                </c:pt>
                <c:pt idx="2">
                  <c:v>2</c:v>
                </c:pt>
                <c:pt idx="3">
                  <c:v>2</c:v>
                </c:pt>
                <c:pt idx="4">
                  <c:v>2</c:v>
                </c:pt>
                <c:pt idx="5">
                  <c:v>2</c:v>
                </c:pt>
                <c:pt idx="6">
                  <c:v>2</c:v>
                </c:pt>
                <c:pt idx="7">
                  <c:v>2</c:v>
                </c:pt>
                <c:pt idx="8">
                  <c:v>2</c:v>
                </c:pt>
                <c:pt idx="9">
                  <c:v>2</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0-9AB9-BC43-BD6B-CEF4AAF1B863}"/>
            </c:ext>
          </c:extLst>
        </c:ser>
        <c:dLbls>
          <c:showLegendKey val="0"/>
          <c:showVal val="0"/>
          <c:showCatName val="0"/>
          <c:showSerName val="0"/>
          <c:showPercent val="0"/>
          <c:showBubbleSize val="0"/>
        </c:dLbls>
        <c:gapWidth val="150"/>
        <c:axId val="1499035645"/>
        <c:axId val="1050941315"/>
      </c:barChart>
      <c:catAx>
        <c:axId val="1499035645"/>
        <c:scaling>
          <c:orientation val="maxMin"/>
        </c:scaling>
        <c:delete val="0"/>
        <c:axPos val="l"/>
        <c:title>
          <c:tx>
            <c:rich>
              <a:bodyPr/>
              <a:lstStyle/>
              <a:p>
                <a:pPr lvl="0">
                  <a:defRPr b="0">
                    <a:solidFill>
                      <a:srgbClr val="31216B"/>
                    </a:solidFill>
                    <a:latin typeface="+mn-lt"/>
                  </a:defRPr>
                </a:pPr>
                <a:endParaRPr lang="en-NL"/>
              </a:p>
            </c:rich>
          </c:tx>
          <c:overlay val="0"/>
        </c:title>
        <c:numFmt formatCode="General" sourceLinked="1"/>
        <c:majorTickMark val="none"/>
        <c:minorTickMark val="none"/>
        <c:tickLblPos val="nextTo"/>
        <c:txPr>
          <a:bodyPr/>
          <a:lstStyle/>
          <a:p>
            <a:pPr lvl="0">
              <a:defRPr sz="1200" b="0" i="0">
                <a:solidFill>
                  <a:schemeClr val="dk1"/>
                </a:solidFill>
                <a:latin typeface="Trebuchet MS" panose="020B0703020202090204" pitchFamily="34" charset="0"/>
              </a:defRPr>
            </a:pPr>
            <a:endParaRPr lang="en-US"/>
          </a:p>
        </c:txPr>
        <c:crossAx val="1050941315"/>
        <c:crosses val="autoZero"/>
        <c:auto val="1"/>
        <c:lblAlgn val="ctr"/>
        <c:lblOffset val="100"/>
        <c:noMultiLvlLbl val="1"/>
      </c:catAx>
      <c:valAx>
        <c:axId val="1050941315"/>
        <c:scaling>
          <c:orientation val="minMax"/>
          <c:max val="50"/>
        </c:scaling>
        <c:delete val="0"/>
        <c:axPos val="b"/>
        <c:majorGridlines>
          <c:spPr>
            <a:ln>
              <a:solidFill>
                <a:srgbClr val="B7B7B7"/>
              </a:solidFill>
            </a:ln>
          </c:spPr>
        </c:majorGridlines>
        <c:title>
          <c:tx>
            <c:rich>
              <a:bodyPr/>
              <a:lstStyle/>
              <a:p>
                <a:pPr lvl="0">
                  <a:defRPr b="0">
                    <a:solidFill>
                      <a:srgbClr val="31216B"/>
                    </a:solidFill>
                    <a:latin typeface="+mn-lt"/>
                  </a:defRPr>
                </a:pPr>
                <a:endParaRPr lang="en-NL"/>
              </a:p>
            </c:rich>
          </c:tx>
          <c:overlay val="0"/>
        </c:title>
        <c:numFmt formatCode="General" sourceLinked="1"/>
        <c:majorTickMark val="none"/>
        <c:minorTickMark val="none"/>
        <c:tickLblPos val="nextTo"/>
        <c:spPr>
          <a:ln/>
        </c:spPr>
        <c:txPr>
          <a:bodyPr/>
          <a:lstStyle/>
          <a:p>
            <a:pPr lvl="0">
              <a:defRPr b="0" i="0">
                <a:solidFill>
                  <a:schemeClr val="dk1"/>
                </a:solidFill>
                <a:latin typeface="Trebuchet MS" panose="020B0703020202090204" pitchFamily="34" charset="0"/>
              </a:defRPr>
            </a:pPr>
            <a:endParaRPr lang="en-US"/>
          </a:p>
        </c:txPr>
        <c:crossAx val="1499035645"/>
        <c:crosses val="max"/>
        <c:crossBetween val="between"/>
      </c:valAx>
    </c:plotArea>
    <c:plotVisOnly val="1"/>
    <c:dispBlanksAs val="zero"/>
    <c:showDLblsOverMax val="1"/>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chemeClr val="dk1"/>
                </a:solidFill>
                <a:latin typeface="Trebuchet MS" panose="020B0703020202090204" pitchFamily="34" charset="0"/>
              </a:defRPr>
            </a:pPr>
            <a:r>
              <a:rPr lang="en-US" sz="1800" b="1" i="0">
                <a:solidFill>
                  <a:schemeClr val="dk1"/>
                </a:solidFill>
                <a:latin typeface="Trebuchet MS" panose="020B0703020202090204" pitchFamily="34" charset="0"/>
              </a:rPr>
              <a:t>Total Occupational Level Profile</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2555-E24F-9A69-E2173B29E6CA}"/>
              </c:ext>
            </c:extLst>
          </c:dPt>
          <c:dPt>
            <c:idx val="1"/>
            <c:bubble3D val="0"/>
            <c:spPr>
              <a:solidFill>
                <a:schemeClr val="accent2"/>
              </a:solidFill>
            </c:spPr>
            <c:extLst>
              <c:ext xmlns:c16="http://schemas.microsoft.com/office/drawing/2014/chart" uri="{C3380CC4-5D6E-409C-BE32-E72D297353CC}">
                <c16:uniqueId val="{00000003-2555-E24F-9A69-E2173B29E6CA}"/>
              </c:ext>
            </c:extLst>
          </c:dPt>
          <c:dPt>
            <c:idx val="2"/>
            <c:bubble3D val="0"/>
            <c:spPr>
              <a:solidFill>
                <a:schemeClr val="accent3"/>
              </a:solidFill>
            </c:spPr>
            <c:extLst>
              <c:ext xmlns:c16="http://schemas.microsoft.com/office/drawing/2014/chart" uri="{C3380CC4-5D6E-409C-BE32-E72D297353CC}">
                <c16:uniqueId val="{00000005-2555-E24F-9A69-E2173B29E6CA}"/>
              </c:ext>
            </c:extLst>
          </c:dPt>
          <c:dPt>
            <c:idx val="3"/>
            <c:bubble3D val="0"/>
            <c:spPr>
              <a:solidFill>
                <a:schemeClr val="accent4"/>
              </a:solidFill>
            </c:spPr>
            <c:extLst>
              <c:ext xmlns:c16="http://schemas.microsoft.com/office/drawing/2014/chart" uri="{C3380CC4-5D6E-409C-BE32-E72D297353CC}">
                <c16:uniqueId val="{00000007-2555-E24F-9A69-E2173B29E6CA}"/>
              </c:ext>
            </c:extLst>
          </c:dPt>
          <c:dPt>
            <c:idx val="4"/>
            <c:bubble3D val="0"/>
            <c:spPr>
              <a:solidFill>
                <a:schemeClr val="accent5"/>
              </a:solidFill>
            </c:spPr>
            <c:extLst>
              <c:ext xmlns:c16="http://schemas.microsoft.com/office/drawing/2014/chart" uri="{C3380CC4-5D6E-409C-BE32-E72D297353CC}">
                <c16:uniqueId val="{00000009-2555-E24F-9A69-E2173B29E6CA}"/>
              </c:ext>
            </c:extLst>
          </c:dPt>
          <c:dPt>
            <c:idx val="5"/>
            <c:bubble3D val="0"/>
            <c:spPr>
              <a:solidFill>
                <a:srgbClr val="FFD0D4"/>
              </a:solidFill>
            </c:spPr>
            <c:extLst>
              <c:ext xmlns:c16="http://schemas.microsoft.com/office/drawing/2014/chart" uri="{C3380CC4-5D6E-409C-BE32-E72D297353CC}">
                <c16:uniqueId val="{0000000B-2555-E24F-9A69-E2173B29E6CA}"/>
              </c:ext>
            </c:extLst>
          </c:dPt>
          <c:dLbls>
            <c:dLbl>
              <c:idx val="0"/>
              <c:layout>
                <c:manualLayout>
                  <c:x val="-6.4263736708583583E-2"/>
                  <c:y val="1.880877742946708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555-E24F-9A69-E2173B29E6CA}"/>
                </c:ext>
              </c:extLst>
            </c:dLbl>
            <c:dLbl>
              <c:idx val="1"/>
              <c:layout>
                <c:manualLayout>
                  <c:x val="-5.2923077289421666E-2"/>
                  <c:y val="-3.970741901776384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555-E24F-9A69-E2173B29E6CA}"/>
                </c:ext>
              </c:extLst>
            </c:dLbl>
            <c:dLbl>
              <c:idx val="2"/>
              <c:layout>
                <c:manualLayout>
                  <c:x val="7.9384615934132499E-2"/>
                  <c:y val="-1.67189132706374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555-E24F-9A69-E2173B29E6CA}"/>
                </c:ext>
              </c:extLst>
            </c:dLbl>
            <c:dLbl>
              <c:idx val="3"/>
              <c:layout>
                <c:manualLayout>
                  <c:x val="0.1039560446756497"/>
                  <c:y val="2.716823406478578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555-E24F-9A69-E2173B29E6CA}"/>
                </c:ext>
              </c:extLst>
            </c:dLbl>
            <c:dLbl>
              <c:idx val="4"/>
              <c:layout>
                <c:manualLayout>
                  <c:x val="4.5362637676647069E-2"/>
                  <c:y val="4.388714733542319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555-E24F-9A69-E2173B29E6CA}"/>
                </c:ext>
              </c:extLst>
            </c:dLbl>
            <c:dLbl>
              <c:idx val="5"/>
              <c:layout>
                <c:manualLayout>
                  <c:x val="4.5362637676647138E-2"/>
                  <c:y val="3.76175548589341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2555-E24F-9A69-E2173B29E6CA}"/>
                </c:ext>
              </c:extLst>
            </c:dLbl>
            <c:spPr>
              <a:solidFill>
                <a:srgbClr val="FFFFFF"/>
              </a:solidFill>
              <a:ln>
                <a:solidFill>
                  <a:srgbClr val="31216B">
                    <a:lumMod val="65000"/>
                    <a:lumOff val="35000"/>
                  </a:srgbClr>
                </a:solidFill>
              </a:ln>
              <a:effectLst/>
            </c:spPr>
            <c:txPr>
              <a:bodyPr wrap="square" lIns="38100" tIns="19050" rIns="38100" bIns="19050" anchor="ctr">
                <a:spAutoFit/>
              </a:bodyPr>
              <a:lstStyle/>
              <a:p>
                <a:pPr>
                  <a:defRPr>
                    <a:solidFill>
                      <a:schemeClr val="tx1"/>
                    </a:solidFill>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c15:spPr>
              </c:ext>
            </c:extLst>
          </c:dLbls>
          <c:cat>
            <c:strRef>
              <c:f>Calculations!$H$117:$H$122</c:f>
              <c:strCache>
                <c:ptCount val="6"/>
                <c:pt idx="0">
                  <c:v>Employee</c:v>
                </c:pt>
                <c:pt idx="1">
                  <c:v>Junior management</c:v>
                </c:pt>
                <c:pt idx="2">
                  <c:v>Management</c:v>
                </c:pt>
                <c:pt idx="3">
                  <c:v>Senior management</c:v>
                </c:pt>
                <c:pt idx="4">
                  <c:v>Specialist</c:v>
                </c:pt>
                <c:pt idx="5">
                  <c:v>Executive</c:v>
                </c:pt>
              </c:strCache>
            </c:strRef>
          </c:cat>
          <c:val>
            <c:numRef>
              <c:f>Calculations!$I$117:$I$122</c:f>
              <c:numCache>
                <c:formatCode>General</c:formatCode>
                <c:ptCount val="6"/>
                <c:pt idx="0">
                  <c:v>8</c:v>
                </c:pt>
                <c:pt idx="1">
                  <c:v>4</c:v>
                </c:pt>
                <c:pt idx="2">
                  <c:v>5</c:v>
                </c:pt>
                <c:pt idx="3">
                  <c:v>2</c:v>
                </c:pt>
                <c:pt idx="4">
                  <c:v>2</c:v>
                </c:pt>
                <c:pt idx="5">
                  <c:v>#N/A</c:v>
                </c:pt>
              </c:numCache>
            </c:numRef>
          </c:val>
          <c:extLst>
            <c:ext xmlns:c16="http://schemas.microsoft.com/office/drawing/2014/chart" uri="{C3380CC4-5D6E-409C-BE32-E72D297353CC}">
              <c16:uniqueId val="{0000000C-2555-E24F-9A69-E2173B29E6CA}"/>
            </c:ext>
          </c:extLst>
        </c:ser>
        <c:dLbls>
          <c:showLegendKey val="0"/>
          <c:showVal val="0"/>
          <c:showCatName val="0"/>
          <c:showSerName val="0"/>
          <c:showPercent val="0"/>
          <c:showBubbleSize val="0"/>
          <c:showLeaderLines val="0"/>
        </c:dLbls>
        <c:firstSliceAng val="0"/>
      </c:pieChart>
    </c:plotArea>
    <c:plotVisOnly val="1"/>
    <c:dispBlanksAs val="zero"/>
    <c:showDLblsOverMax val="1"/>
  </c:chart>
  <c:spPr>
    <a:solidFill>
      <a:srgbClr val="FFFFFF"/>
    </a:solidFill>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chemeClr val="dk1"/>
                </a:solidFill>
                <a:latin typeface="Trebuchet MS" panose="020B0703020202090204" pitchFamily="34" charset="0"/>
              </a:defRPr>
            </a:pPr>
            <a:r>
              <a:rPr lang="en-US" sz="1800" b="1" i="0">
                <a:solidFill>
                  <a:schemeClr val="dk1"/>
                </a:solidFill>
                <a:latin typeface="Trebuchet MS" panose="020B0703020202090204" pitchFamily="34" charset="0"/>
              </a:rPr>
              <a:t>Total Tenure Profile</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E50B-5040-AFDF-528C4983621F}"/>
              </c:ext>
            </c:extLst>
          </c:dPt>
          <c:dPt>
            <c:idx val="1"/>
            <c:bubble3D val="0"/>
            <c:spPr>
              <a:solidFill>
                <a:schemeClr val="accent2"/>
              </a:solidFill>
            </c:spPr>
            <c:extLst>
              <c:ext xmlns:c16="http://schemas.microsoft.com/office/drawing/2014/chart" uri="{C3380CC4-5D6E-409C-BE32-E72D297353CC}">
                <c16:uniqueId val="{00000003-E50B-5040-AFDF-528C4983621F}"/>
              </c:ext>
            </c:extLst>
          </c:dPt>
          <c:dPt>
            <c:idx val="2"/>
            <c:bubble3D val="0"/>
            <c:spPr>
              <a:solidFill>
                <a:schemeClr val="accent3"/>
              </a:solidFill>
            </c:spPr>
            <c:extLst>
              <c:ext xmlns:c16="http://schemas.microsoft.com/office/drawing/2014/chart" uri="{C3380CC4-5D6E-409C-BE32-E72D297353CC}">
                <c16:uniqueId val="{00000005-E50B-5040-AFDF-528C4983621F}"/>
              </c:ext>
            </c:extLst>
          </c:dPt>
          <c:dPt>
            <c:idx val="3"/>
            <c:bubble3D val="0"/>
            <c:spPr>
              <a:solidFill>
                <a:schemeClr val="accent4"/>
              </a:solidFill>
            </c:spPr>
            <c:extLst>
              <c:ext xmlns:c16="http://schemas.microsoft.com/office/drawing/2014/chart" uri="{C3380CC4-5D6E-409C-BE32-E72D297353CC}">
                <c16:uniqueId val="{00000007-E50B-5040-AFDF-528C4983621F}"/>
              </c:ext>
            </c:extLst>
          </c:dPt>
          <c:dPt>
            <c:idx val="4"/>
            <c:bubble3D val="0"/>
            <c:spPr>
              <a:solidFill>
                <a:schemeClr val="accent5"/>
              </a:solidFill>
            </c:spPr>
            <c:extLst>
              <c:ext xmlns:c16="http://schemas.microsoft.com/office/drawing/2014/chart" uri="{C3380CC4-5D6E-409C-BE32-E72D297353CC}">
                <c16:uniqueId val="{00000009-E50B-5040-AFDF-528C4983621F}"/>
              </c:ext>
            </c:extLst>
          </c:dPt>
          <c:dPt>
            <c:idx val="5"/>
            <c:bubble3D val="0"/>
            <c:spPr>
              <a:solidFill>
                <a:srgbClr val="FFD0D4"/>
              </a:solidFill>
            </c:spPr>
            <c:extLst>
              <c:ext xmlns:c16="http://schemas.microsoft.com/office/drawing/2014/chart" uri="{C3380CC4-5D6E-409C-BE32-E72D297353CC}">
                <c16:uniqueId val="{0000000B-E50B-5040-AFDF-528C4983621F}"/>
              </c:ext>
            </c:extLst>
          </c:dPt>
          <c:dPt>
            <c:idx val="6"/>
            <c:bubble3D val="0"/>
            <c:spPr>
              <a:solidFill>
                <a:srgbClr val="1EBBF0"/>
              </a:solidFill>
            </c:spPr>
            <c:extLst>
              <c:ext xmlns:c16="http://schemas.microsoft.com/office/drawing/2014/chart" uri="{C3380CC4-5D6E-409C-BE32-E72D297353CC}">
                <c16:uniqueId val="{0000000D-E50B-5040-AFDF-528C4983621F}"/>
              </c:ext>
            </c:extLst>
          </c:dPt>
          <c:dPt>
            <c:idx val="7"/>
            <c:bubble3D val="0"/>
            <c:spPr>
              <a:solidFill>
                <a:schemeClr val="accent2"/>
              </a:solidFill>
            </c:spPr>
            <c:extLst>
              <c:ext xmlns:c16="http://schemas.microsoft.com/office/drawing/2014/chart" uri="{C3380CC4-5D6E-409C-BE32-E72D297353CC}">
                <c16:uniqueId val="{0000000F-E50B-5040-AFDF-528C4983621F}"/>
              </c:ext>
            </c:extLst>
          </c:dPt>
          <c:dLbls>
            <c:dLbl>
              <c:idx val="0"/>
              <c:layout>
                <c:manualLayout>
                  <c:x val="-5.7986271799071371E-2"/>
                  <c:y val="0"/>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50B-5040-AFDF-528C4983621F}"/>
                </c:ext>
              </c:extLst>
            </c:dLbl>
            <c:dLbl>
              <c:idx val="1"/>
              <c:layout>
                <c:manualLayout>
                  <c:x val="7.0411901470300964E-2"/>
                  <c:y val="-6.269592476489028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50B-5040-AFDF-528C4983621F}"/>
                </c:ext>
              </c:extLst>
            </c:dLbl>
            <c:dLbl>
              <c:idx val="2"/>
              <c:layout>
                <c:manualLayout>
                  <c:x val="2.6922197620997422E-2"/>
                  <c:y val="3.76175548589341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50B-5040-AFDF-528C4983621F}"/>
                </c:ext>
              </c:extLst>
            </c:dLbl>
            <c:dLbl>
              <c:idx val="3"/>
              <c:layout>
                <c:manualLayout>
                  <c:x val="7.248283974883922E-2"/>
                  <c:y val="3.34378265412748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50B-5040-AFDF-528C4983621F}"/>
                </c:ext>
              </c:extLst>
            </c:dLbl>
            <c:dLbl>
              <c:idx val="4"/>
              <c:layout>
                <c:manualLayout>
                  <c:x val="6.4199086634686167E-2"/>
                  <c:y val="5.224660397074186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E50B-5040-AFDF-528C4983621F}"/>
                </c:ext>
              </c:extLst>
            </c:dLbl>
            <c:dLbl>
              <c:idx val="5"/>
              <c:layout>
                <c:manualLayout>
                  <c:x val="6.0057210077609634E-2"/>
                  <c:y val="5.224660397074189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E50B-5040-AFDF-528C4983621F}"/>
                </c:ext>
              </c:extLst>
            </c:dLbl>
            <c:dLbl>
              <c:idx val="6"/>
              <c:layout>
                <c:manualLayout>
                  <c:x val="2.8993135899535685E-2"/>
                  <c:y val="3.970741901776384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E50B-5040-AFDF-528C4983621F}"/>
                </c:ext>
              </c:extLst>
            </c:dLbl>
            <c:dLbl>
              <c:idx val="7"/>
              <c:layout>
                <c:manualLayout>
                  <c:x val="4.9702518684918318E-2"/>
                  <c:y val="3.134796238244513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E50B-5040-AFDF-528C4983621F}"/>
                </c:ext>
              </c:extLst>
            </c:dLbl>
            <c:spPr>
              <a:solidFill>
                <a:srgbClr val="FFFFFF"/>
              </a:solidFill>
              <a:ln>
                <a:solidFill>
                  <a:srgbClr val="31216B">
                    <a:lumMod val="65000"/>
                    <a:lumOff val="35000"/>
                  </a:srgbClr>
                </a:solidFill>
              </a:ln>
              <a:effectLst/>
            </c:spPr>
            <c:txPr>
              <a:bodyPr wrap="square" lIns="38100" tIns="19050" rIns="38100" bIns="19050" anchor="ctr">
                <a:spAutoFit/>
              </a:bodyPr>
              <a:lstStyle/>
              <a:p>
                <a:pPr>
                  <a:defRPr>
                    <a:solidFill>
                      <a:schemeClr val="tx1"/>
                    </a:solidFill>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c15:spPr>
              </c:ext>
            </c:extLst>
          </c:dLbls>
          <c:cat>
            <c:strRef>
              <c:f>Calculations!$H$107:$H$114</c:f>
              <c:strCache>
                <c:ptCount val="8"/>
                <c:pt idx="0">
                  <c:v>&lt;1 year</c:v>
                </c:pt>
                <c:pt idx="1">
                  <c:v>1-5 years</c:v>
                </c:pt>
                <c:pt idx="2">
                  <c:v>6-10 years</c:v>
                </c:pt>
                <c:pt idx="3">
                  <c:v>11-15 years</c:v>
                </c:pt>
                <c:pt idx="4">
                  <c:v>16-20 years</c:v>
                </c:pt>
                <c:pt idx="5">
                  <c:v>21-25 years</c:v>
                </c:pt>
                <c:pt idx="6">
                  <c:v>26-30 years</c:v>
                </c:pt>
                <c:pt idx="7">
                  <c:v>&gt;30 years</c:v>
                </c:pt>
              </c:strCache>
            </c:strRef>
          </c:cat>
          <c:val>
            <c:numRef>
              <c:f>Calculations!$I$107:$I$114</c:f>
              <c:numCache>
                <c:formatCode>General</c:formatCode>
                <c:ptCount val="8"/>
                <c:pt idx="0">
                  <c:v>#N/A</c:v>
                </c:pt>
                <c:pt idx="1">
                  <c:v>13</c:v>
                </c:pt>
                <c:pt idx="2">
                  <c:v>8</c:v>
                </c:pt>
                <c:pt idx="3">
                  <c:v>#N/A</c:v>
                </c:pt>
                <c:pt idx="4">
                  <c:v>#N/A</c:v>
                </c:pt>
                <c:pt idx="5">
                  <c:v>#N/A</c:v>
                </c:pt>
                <c:pt idx="6">
                  <c:v>#N/A</c:v>
                </c:pt>
                <c:pt idx="7">
                  <c:v>#N/A</c:v>
                </c:pt>
              </c:numCache>
            </c:numRef>
          </c:val>
          <c:extLst>
            <c:ext xmlns:c16="http://schemas.microsoft.com/office/drawing/2014/chart" uri="{C3380CC4-5D6E-409C-BE32-E72D297353CC}">
              <c16:uniqueId val="{00000010-E50B-5040-AFDF-528C4983621F}"/>
            </c:ext>
          </c:extLst>
        </c:ser>
        <c:dLbls>
          <c:showLegendKey val="0"/>
          <c:showVal val="0"/>
          <c:showCatName val="0"/>
          <c:showSerName val="0"/>
          <c:showPercent val="0"/>
          <c:showBubbleSize val="0"/>
          <c:showLeaderLines val="0"/>
        </c:dLbls>
        <c:firstSliceAng val="0"/>
      </c:pieChart>
    </c:plotArea>
    <c:plotVisOnly val="1"/>
    <c:dispBlanksAs val="zero"/>
    <c:showDLblsOverMax val="1"/>
  </c:chart>
  <c:spPr>
    <a:solidFill>
      <a:srgbClr val="FFFFFF"/>
    </a:solidFill>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chemeClr val="dk1"/>
                </a:solidFill>
                <a:latin typeface="Trebuchet MS" panose="020B0703020202090204" pitchFamily="34" charset="0"/>
              </a:defRPr>
            </a:pPr>
            <a:r>
              <a:rPr lang="en-US" sz="1800" b="1" i="0">
                <a:solidFill>
                  <a:schemeClr val="dk1"/>
                </a:solidFill>
                <a:latin typeface="Trebuchet MS" panose="020B0703020202090204" pitchFamily="34" charset="0"/>
              </a:rPr>
              <a:t>Employees Per Position</a:t>
            </a:r>
          </a:p>
        </c:rich>
      </c:tx>
      <c:overlay val="0"/>
    </c:title>
    <c:autoTitleDeleted val="0"/>
    <c:plotArea>
      <c:layout/>
      <c:barChart>
        <c:barDir val="bar"/>
        <c:grouping val="clustered"/>
        <c:varyColors val="1"/>
        <c:ser>
          <c:idx val="0"/>
          <c:order val="0"/>
          <c:spPr>
            <a:solidFill>
              <a:srgbClr val="B0E7FF"/>
            </a:solidFill>
            <a:ln cmpd="sng">
              <a:noFill/>
            </a:ln>
          </c:spPr>
          <c:invertIfNegative val="1"/>
          <c:dLbls>
            <c:spPr>
              <a:noFill/>
              <a:ln>
                <a:noFill/>
              </a:ln>
              <a:effectLst/>
            </c:spPr>
            <c:txPr>
              <a:bodyPr/>
              <a:lstStyle/>
              <a:p>
                <a:pPr lvl="0">
                  <a:defRPr sz="1200" b="0" i="0">
                    <a:solidFill>
                      <a:srgbClr val="31216B"/>
                    </a:solidFill>
                    <a:latin typeface="Trebuchet MS" panose="020B070302020209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Calculations!$F$63:$F$87</c:f>
              <c:strCache>
                <c:ptCount val="25"/>
                <c:pt idx="0">
                  <c:v>Position 26</c:v>
                </c:pt>
                <c:pt idx="1">
                  <c:v>Position 27</c:v>
                </c:pt>
                <c:pt idx="2">
                  <c:v>Position 28</c:v>
                </c:pt>
                <c:pt idx="3">
                  <c:v>Position 29</c:v>
                </c:pt>
                <c:pt idx="4">
                  <c:v>Position 30</c:v>
                </c:pt>
                <c:pt idx="5">
                  <c:v>Position 31</c:v>
                </c:pt>
                <c:pt idx="6">
                  <c:v>Position 32</c:v>
                </c:pt>
                <c:pt idx="7">
                  <c:v>Position 33</c:v>
                </c:pt>
                <c:pt idx="8">
                  <c:v>Position 34</c:v>
                </c:pt>
                <c:pt idx="9">
                  <c:v>Position 35</c:v>
                </c:pt>
                <c:pt idx="10">
                  <c:v>Position 36</c:v>
                </c:pt>
                <c:pt idx="11">
                  <c:v>Position 37</c:v>
                </c:pt>
                <c:pt idx="12">
                  <c:v>Position 38</c:v>
                </c:pt>
                <c:pt idx="13">
                  <c:v>Position 39</c:v>
                </c:pt>
                <c:pt idx="14">
                  <c:v>Position 40</c:v>
                </c:pt>
                <c:pt idx="15">
                  <c:v>Position 41</c:v>
                </c:pt>
                <c:pt idx="16">
                  <c:v>Position 42</c:v>
                </c:pt>
                <c:pt idx="17">
                  <c:v>Position 43</c:v>
                </c:pt>
                <c:pt idx="18">
                  <c:v>Position 44</c:v>
                </c:pt>
                <c:pt idx="19">
                  <c:v>Position 45</c:v>
                </c:pt>
                <c:pt idx="20">
                  <c:v>Position 46</c:v>
                </c:pt>
                <c:pt idx="21">
                  <c:v>Position 47</c:v>
                </c:pt>
                <c:pt idx="22">
                  <c:v>Position 48</c:v>
                </c:pt>
                <c:pt idx="23">
                  <c:v>Position 49</c:v>
                </c:pt>
                <c:pt idx="24">
                  <c:v>Position 50</c:v>
                </c:pt>
              </c:strCache>
            </c:strRef>
          </c:cat>
          <c:val>
            <c:numRef>
              <c:f>Calculations!$G$63:$G$87</c:f>
              <c:numCache>
                <c:formatCode>General</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4="http://schemas.microsoft.com/office/drawing/2007/8/2/chart" uri="{6F2FDCE9-48DA-4B69-8628-5D25D57E5C99}">
              <c14:invertSolidFillFmt>
                <c14:spPr xmlns:c14="http://schemas.microsoft.com/office/drawing/2007/8/2/chart">
                  <a:solidFill>
                    <a:srgbClr val="FFFFFF"/>
                  </a:solidFill>
                  <a:ln cmpd="sng">
                    <a:noFill/>
                  </a:ln>
                </c14:spPr>
              </c14:invertSolidFillFmt>
            </c:ext>
            <c:ext xmlns:c16="http://schemas.microsoft.com/office/drawing/2014/chart" uri="{C3380CC4-5D6E-409C-BE32-E72D297353CC}">
              <c16:uniqueId val="{00000000-977E-5B4A-B28F-9217DD74EB50}"/>
            </c:ext>
          </c:extLst>
        </c:ser>
        <c:dLbls>
          <c:showLegendKey val="0"/>
          <c:showVal val="0"/>
          <c:showCatName val="0"/>
          <c:showSerName val="0"/>
          <c:showPercent val="0"/>
          <c:showBubbleSize val="0"/>
        </c:dLbls>
        <c:gapWidth val="150"/>
        <c:axId val="515414378"/>
        <c:axId val="665055198"/>
      </c:barChart>
      <c:catAx>
        <c:axId val="515414378"/>
        <c:scaling>
          <c:orientation val="maxMin"/>
        </c:scaling>
        <c:delete val="0"/>
        <c:axPos val="l"/>
        <c:title>
          <c:tx>
            <c:rich>
              <a:bodyPr/>
              <a:lstStyle/>
              <a:p>
                <a:pPr lvl="0">
                  <a:defRPr b="0">
                    <a:solidFill>
                      <a:srgbClr val="31216B"/>
                    </a:solidFill>
                    <a:latin typeface="+mn-lt"/>
                  </a:defRPr>
                </a:pPr>
                <a:endParaRPr lang="en-NL"/>
              </a:p>
            </c:rich>
          </c:tx>
          <c:overlay val="0"/>
        </c:title>
        <c:numFmt formatCode="General" sourceLinked="1"/>
        <c:majorTickMark val="none"/>
        <c:minorTickMark val="none"/>
        <c:tickLblPos val="nextTo"/>
        <c:txPr>
          <a:bodyPr/>
          <a:lstStyle/>
          <a:p>
            <a:pPr lvl="0">
              <a:defRPr sz="1200" b="0" i="0">
                <a:solidFill>
                  <a:schemeClr val="dk1"/>
                </a:solidFill>
                <a:latin typeface="Trebuchet MS" panose="020B0703020202090204" pitchFamily="34" charset="0"/>
              </a:defRPr>
            </a:pPr>
            <a:endParaRPr lang="en-US"/>
          </a:p>
        </c:txPr>
        <c:crossAx val="665055198"/>
        <c:crosses val="autoZero"/>
        <c:auto val="1"/>
        <c:lblAlgn val="ctr"/>
        <c:lblOffset val="100"/>
        <c:noMultiLvlLbl val="1"/>
      </c:catAx>
      <c:valAx>
        <c:axId val="665055198"/>
        <c:scaling>
          <c:orientation val="minMax"/>
          <c:max val="50"/>
        </c:scaling>
        <c:delete val="0"/>
        <c:axPos val="b"/>
        <c:majorGridlines>
          <c:spPr>
            <a:ln>
              <a:solidFill>
                <a:srgbClr val="B7B7B7"/>
              </a:solidFill>
            </a:ln>
          </c:spPr>
        </c:majorGridlines>
        <c:title>
          <c:tx>
            <c:rich>
              <a:bodyPr/>
              <a:lstStyle/>
              <a:p>
                <a:pPr lvl="0">
                  <a:defRPr b="0">
                    <a:solidFill>
                      <a:srgbClr val="31216B"/>
                    </a:solidFill>
                    <a:latin typeface="+mn-lt"/>
                  </a:defRPr>
                </a:pPr>
                <a:endParaRPr lang="en-NL"/>
              </a:p>
            </c:rich>
          </c:tx>
          <c:overlay val="0"/>
        </c:title>
        <c:numFmt formatCode="General" sourceLinked="1"/>
        <c:majorTickMark val="none"/>
        <c:minorTickMark val="none"/>
        <c:tickLblPos val="nextTo"/>
        <c:spPr>
          <a:ln/>
        </c:spPr>
        <c:txPr>
          <a:bodyPr/>
          <a:lstStyle/>
          <a:p>
            <a:pPr lvl="0">
              <a:defRPr b="0" i="0">
                <a:solidFill>
                  <a:schemeClr val="dk1"/>
                </a:solidFill>
                <a:latin typeface="Trebuchet MS" panose="020B0703020202090204" pitchFamily="34" charset="0"/>
              </a:defRPr>
            </a:pPr>
            <a:endParaRPr lang="en-US"/>
          </a:p>
        </c:txPr>
        <c:crossAx val="515414378"/>
        <c:crosses val="max"/>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ihr.com/package-deals/?utm_source=resource&amp;utm_medium=resource&amp;utm_campaign=hr-week&amp;utm_content=hr-week"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ttps://www.aihr.com/package-deals/?utm_source=resource&amp;utm_medium=resource&amp;utm_campaign=hr-week&amp;utm_content=hr-week" TargetMode="External"/><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21" Type="http://schemas.openxmlformats.org/officeDocument/2006/relationships/chart" Target="../charts/chart21.xml"/><Relationship Id="rId34" Type="http://schemas.openxmlformats.org/officeDocument/2006/relationships/chart" Target="../charts/chart34.xml"/><Relationship Id="rId42" Type="http://schemas.openxmlformats.org/officeDocument/2006/relationships/chart" Target="../charts/chart42.xml"/><Relationship Id="rId47" Type="http://schemas.openxmlformats.org/officeDocument/2006/relationships/chart" Target="../charts/chart47.xml"/><Relationship Id="rId50" Type="http://schemas.openxmlformats.org/officeDocument/2006/relationships/chart" Target="../charts/chart50.xml"/><Relationship Id="rId55" Type="http://schemas.openxmlformats.org/officeDocument/2006/relationships/chart" Target="../charts/chart55.xml"/><Relationship Id="rId7" Type="http://schemas.openxmlformats.org/officeDocument/2006/relationships/chart" Target="../charts/chart7.xml"/><Relationship Id="rId2" Type="http://schemas.openxmlformats.org/officeDocument/2006/relationships/chart" Target="../charts/chart2.xml"/><Relationship Id="rId16" Type="http://schemas.openxmlformats.org/officeDocument/2006/relationships/chart" Target="../charts/chart16.xml"/><Relationship Id="rId29" Type="http://schemas.openxmlformats.org/officeDocument/2006/relationships/chart" Target="../charts/chart29.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45" Type="http://schemas.openxmlformats.org/officeDocument/2006/relationships/chart" Target="../charts/chart45.xml"/><Relationship Id="rId53" Type="http://schemas.openxmlformats.org/officeDocument/2006/relationships/chart" Target="../charts/chart53.xml"/><Relationship Id="rId58" Type="http://schemas.openxmlformats.org/officeDocument/2006/relationships/chart" Target="../charts/chart58.xml"/><Relationship Id="rId5" Type="http://schemas.openxmlformats.org/officeDocument/2006/relationships/chart" Target="../charts/chart5.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43" Type="http://schemas.openxmlformats.org/officeDocument/2006/relationships/chart" Target="../charts/chart43.xml"/><Relationship Id="rId48" Type="http://schemas.openxmlformats.org/officeDocument/2006/relationships/chart" Target="../charts/chart48.xml"/><Relationship Id="rId56" Type="http://schemas.openxmlformats.org/officeDocument/2006/relationships/chart" Target="../charts/chart56.xml"/><Relationship Id="rId8" Type="http://schemas.openxmlformats.org/officeDocument/2006/relationships/chart" Target="../charts/chart8.xml"/><Relationship Id="rId51" Type="http://schemas.openxmlformats.org/officeDocument/2006/relationships/chart" Target="../charts/chart51.xml"/><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46" Type="http://schemas.openxmlformats.org/officeDocument/2006/relationships/chart" Target="../charts/chart46.xml"/><Relationship Id="rId59" Type="http://schemas.openxmlformats.org/officeDocument/2006/relationships/chart" Target="../charts/chart59.xml"/><Relationship Id="rId20" Type="http://schemas.openxmlformats.org/officeDocument/2006/relationships/chart" Target="../charts/chart20.xml"/><Relationship Id="rId41" Type="http://schemas.openxmlformats.org/officeDocument/2006/relationships/chart" Target="../charts/chart41.xml"/><Relationship Id="rId54" Type="http://schemas.openxmlformats.org/officeDocument/2006/relationships/chart" Target="../charts/chart54.xml"/><Relationship Id="rId1" Type="http://schemas.openxmlformats.org/officeDocument/2006/relationships/chart" Target="../charts/chart1.xml"/><Relationship Id="rId6" Type="http://schemas.openxmlformats.org/officeDocument/2006/relationships/chart" Target="../charts/chart6.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49" Type="http://schemas.openxmlformats.org/officeDocument/2006/relationships/chart" Target="../charts/chart49.xml"/><Relationship Id="rId57" Type="http://schemas.openxmlformats.org/officeDocument/2006/relationships/chart" Target="../charts/chart57.xml"/><Relationship Id="rId10" Type="http://schemas.openxmlformats.org/officeDocument/2006/relationships/chart" Target="../charts/chart10.xml"/><Relationship Id="rId31" Type="http://schemas.openxmlformats.org/officeDocument/2006/relationships/chart" Target="../charts/chart31.xml"/><Relationship Id="rId44" Type="http://schemas.openxmlformats.org/officeDocument/2006/relationships/chart" Target="../charts/chart44.xml"/><Relationship Id="rId52" Type="http://schemas.openxmlformats.org/officeDocument/2006/relationships/chart" Target="../charts/chart5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1384300</xdr:colOff>
      <xdr:row>40</xdr:row>
      <xdr:rowOff>166184</xdr:rowOff>
    </xdr:to>
    <xdr:pic>
      <xdr:nvPicPr>
        <xdr:cNvPr id="2" name="Picture 1">
          <a:hlinkClick xmlns:r="http://schemas.openxmlformats.org/officeDocument/2006/relationships" r:id="rId1"/>
          <a:extLst>
            <a:ext uri="{FF2B5EF4-FFF2-40B4-BE49-F238E27FC236}">
              <a16:creationId xmlns:a16="http://schemas.microsoft.com/office/drawing/2014/main" id="{04E4B758-73B6-FE4A-ADB5-2202BCB62E1D}"/>
            </a:ext>
          </a:extLst>
        </xdr:cNvPr>
        <xdr:cNvPicPr>
          <a:picLocks noChangeAspect="1"/>
        </xdr:cNvPicPr>
      </xdr:nvPicPr>
      <xdr:blipFill>
        <a:blip xmlns:r="http://schemas.openxmlformats.org/officeDocument/2006/relationships" r:embed="rId2"/>
        <a:stretch>
          <a:fillRect/>
        </a:stretch>
      </xdr:blipFill>
      <xdr:spPr>
        <a:xfrm>
          <a:off x="0" y="0"/>
          <a:ext cx="12941300" cy="72781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4</xdr:col>
      <xdr:colOff>423685</xdr:colOff>
      <xdr:row>0</xdr:row>
      <xdr:rowOff>226484</xdr:rowOff>
    </xdr:from>
    <xdr:ext cx="1781175" cy="514350"/>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2432241" y="226484"/>
          <a:ext cx="1781175" cy="514350"/>
        </a:xfrm>
        <a:prstGeom prst="rect">
          <a:avLst/>
        </a:prstGeom>
        <a:noFill/>
      </xdr:spPr>
    </xdr:pic>
    <xdr:clientData fLocksWithSheet="0"/>
  </xdr:oneCellAnchor>
  <xdr:twoCellAnchor editAs="oneCell">
    <xdr:from>
      <xdr:col>2</xdr:col>
      <xdr:colOff>4318000</xdr:colOff>
      <xdr:row>0</xdr:row>
      <xdr:rowOff>155222</xdr:rowOff>
    </xdr:from>
    <xdr:to>
      <xdr:col>2</xdr:col>
      <xdr:colOff>8915400</xdr:colOff>
      <xdr:row>0</xdr:row>
      <xdr:rowOff>943773</xdr:rowOff>
    </xdr:to>
    <xdr:pic>
      <xdr:nvPicPr>
        <xdr:cNvPr id="4" name="Picture 3">
          <a:hlinkClick xmlns:r="http://schemas.openxmlformats.org/officeDocument/2006/relationships" r:id="rId2"/>
          <a:extLst>
            <a:ext uri="{FF2B5EF4-FFF2-40B4-BE49-F238E27FC236}">
              <a16:creationId xmlns:a16="http://schemas.microsoft.com/office/drawing/2014/main" id="{BF974B0F-8C0A-434A-B07A-DB308A7C4A89}"/>
            </a:ext>
          </a:extLst>
        </xdr:cNvPr>
        <xdr:cNvPicPr>
          <a:picLocks noChangeAspect="1"/>
        </xdr:cNvPicPr>
      </xdr:nvPicPr>
      <xdr:blipFill>
        <a:blip xmlns:r="http://schemas.openxmlformats.org/officeDocument/2006/relationships" r:embed="rId3"/>
        <a:stretch>
          <a:fillRect/>
        </a:stretch>
      </xdr:blipFill>
      <xdr:spPr>
        <a:xfrm>
          <a:off x="6350000" y="155222"/>
          <a:ext cx="4597400" cy="7885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23738</xdr:colOff>
      <xdr:row>6</xdr:row>
      <xdr:rowOff>180975</xdr:rowOff>
    </xdr:from>
    <xdr:ext cx="12902467" cy="2619375"/>
    <xdr:graphicFrame macro="">
      <xdr:nvGraphicFramePr>
        <xdr:cNvPr id="1360595284" name="Chart 1" title="Chart">
          <a:extLst>
            <a:ext uri="{FF2B5EF4-FFF2-40B4-BE49-F238E27FC236}">
              <a16:creationId xmlns:a16="http://schemas.microsoft.com/office/drawing/2014/main" id="{00000000-0008-0000-0100-00005409195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20</xdr:col>
      <xdr:colOff>383953</xdr:colOff>
      <xdr:row>11</xdr:row>
      <xdr:rowOff>398721</xdr:rowOff>
    </xdr:from>
    <xdr:ext cx="6719186" cy="7527869"/>
    <xdr:graphicFrame macro="">
      <xdr:nvGraphicFramePr>
        <xdr:cNvPr id="1310558487" name="Chart 4" title="Chart">
          <a:extLst>
            <a:ext uri="{FF2B5EF4-FFF2-40B4-BE49-F238E27FC236}">
              <a16:creationId xmlns:a16="http://schemas.microsoft.com/office/drawing/2014/main" id="{00000000-0008-0000-0100-000017891D4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27</xdr:col>
      <xdr:colOff>339651</xdr:colOff>
      <xdr:row>11</xdr:row>
      <xdr:rowOff>428255</xdr:rowOff>
    </xdr:from>
    <xdr:ext cx="6143256" cy="7498661"/>
    <xdr:graphicFrame macro="">
      <xdr:nvGraphicFramePr>
        <xdr:cNvPr id="632075865" name="Chart 5" title="Chart">
          <a:extLst>
            <a:ext uri="{FF2B5EF4-FFF2-40B4-BE49-F238E27FC236}">
              <a16:creationId xmlns:a16="http://schemas.microsoft.com/office/drawing/2014/main" id="{00000000-0008-0000-0100-000059B6AC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1</xdr:col>
      <xdr:colOff>4688</xdr:colOff>
      <xdr:row>2</xdr:row>
      <xdr:rowOff>28575</xdr:rowOff>
    </xdr:from>
    <xdr:ext cx="12902467" cy="3057525"/>
    <xdr:graphicFrame macro="">
      <xdr:nvGraphicFramePr>
        <xdr:cNvPr id="1030764478" name="Chart 6" title="Chart">
          <a:extLst>
            <a:ext uri="{FF2B5EF4-FFF2-40B4-BE49-F238E27FC236}">
              <a16:creationId xmlns:a16="http://schemas.microsoft.com/office/drawing/2014/main" id="{00000000-0008-0000-0100-0000BE37703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1</xdr:col>
      <xdr:colOff>14213</xdr:colOff>
      <xdr:row>11</xdr:row>
      <xdr:rowOff>19050</xdr:rowOff>
    </xdr:from>
    <xdr:ext cx="12902467" cy="3057525"/>
    <xdr:graphicFrame macro="">
      <xdr:nvGraphicFramePr>
        <xdr:cNvPr id="1075190912" name="Chart 7" title="Chart">
          <a:extLst>
            <a:ext uri="{FF2B5EF4-FFF2-40B4-BE49-F238E27FC236}">
              <a16:creationId xmlns:a16="http://schemas.microsoft.com/office/drawing/2014/main" id="{00000000-0008-0000-0100-0000801C164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1</xdr:col>
      <xdr:colOff>0</xdr:colOff>
      <xdr:row>15</xdr:row>
      <xdr:rowOff>154744</xdr:rowOff>
    </xdr:from>
    <xdr:ext cx="6290654" cy="10928151"/>
    <xdr:graphicFrame macro="">
      <xdr:nvGraphicFramePr>
        <xdr:cNvPr id="355521464" name="Chart 8" title="Chart">
          <a:extLst>
            <a:ext uri="{FF2B5EF4-FFF2-40B4-BE49-F238E27FC236}">
              <a16:creationId xmlns:a16="http://schemas.microsoft.com/office/drawing/2014/main" id="{00000000-0008-0000-0100-0000B8D3301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oneCellAnchor>
    <xdr:from>
      <xdr:col>20</xdr:col>
      <xdr:colOff>383953</xdr:colOff>
      <xdr:row>23</xdr:row>
      <xdr:rowOff>104775</xdr:rowOff>
    </xdr:from>
    <xdr:ext cx="6719186" cy="6076950"/>
    <xdr:graphicFrame macro="">
      <xdr:nvGraphicFramePr>
        <xdr:cNvPr id="832258546" name="Chart 9" title="Chart">
          <a:extLst>
            <a:ext uri="{FF2B5EF4-FFF2-40B4-BE49-F238E27FC236}">
              <a16:creationId xmlns:a16="http://schemas.microsoft.com/office/drawing/2014/main" id="{00000000-0008-0000-0100-0000F2419B3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oneCellAnchor>
  <xdr:oneCellAnchor>
    <xdr:from>
      <xdr:col>27</xdr:col>
      <xdr:colOff>306119</xdr:colOff>
      <xdr:row>23</xdr:row>
      <xdr:rowOff>104775</xdr:rowOff>
    </xdr:from>
    <xdr:ext cx="6132486" cy="6076950"/>
    <xdr:graphicFrame macro="">
      <xdr:nvGraphicFramePr>
        <xdr:cNvPr id="675580162" name="Chart 10" title="Chart">
          <a:extLst>
            <a:ext uri="{FF2B5EF4-FFF2-40B4-BE49-F238E27FC236}">
              <a16:creationId xmlns:a16="http://schemas.microsoft.com/office/drawing/2014/main" id="{00000000-0008-0000-0100-00000289442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oneCellAnchor>
  <xdr:oneCellAnchor>
    <xdr:from>
      <xdr:col>13</xdr:col>
      <xdr:colOff>106822</xdr:colOff>
      <xdr:row>15</xdr:row>
      <xdr:rowOff>157643</xdr:rowOff>
    </xdr:from>
    <xdr:ext cx="6391819" cy="10928151"/>
    <xdr:graphicFrame macro="">
      <xdr:nvGraphicFramePr>
        <xdr:cNvPr id="357084776" name="Chart 11" title="Chart">
          <a:extLst>
            <a:ext uri="{FF2B5EF4-FFF2-40B4-BE49-F238E27FC236}">
              <a16:creationId xmlns:a16="http://schemas.microsoft.com/office/drawing/2014/main" id="{00000000-0008-0000-0100-000068AE481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fLocksWithSheet="0"/>
  </xdr:oneCellAnchor>
  <xdr:oneCellAnchor>
    <xdr:from>
      <xdr:col>1</xdr:col>
      <xdr:colOff>738</xdr:colOff>
      <xdr:row>61</xdr:row>
      <xdr:rowOff>47625</xdr:rowOff>
    </xdr:from>
    <xdr:ext cx="6191344" cy="3990167"/>
    <xdr:graphicFrame macro="">
      <xdr:nvGraphicFramePr>
        <xdr:cNvPr id="130797468" name="Chart 12" title="Chart">
          <a:extLst>
            <a:ext uri="{FF2B5EF4-FFF2-40B4-BE49-F238E27FC236}">
              <a16:creationId xmlns:a16="http://schemas.microsoft.com/office/drawing/2014/main" id="{00000000-0008-0000-0100-00009CCFCB0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fLocksWithSheet="0"/>
  </xdr:oneCellAnchor>
  <xdr:oneCellAnchor>
    <xdr:from>
      <xdr:col>12</xdr:col>
      <xdr:colOff>187325</xdr:colOff>
      <xdr:row>61</xdr:row>
      <xdr:rowOff>66676</xdr:rowOff>
    </xdr:from>
    <xdr:ext cx="6280814" cy="3944408"/>
    <xdr:graphicFrame macro="">
      <xdr:nvGraphicFramePr>
        <xdr:cNvPr id="621785213" name="Chart 13" title="Chart">
          <a:extLst>
            <a:ext uri="{FF2B5EF4-FFF2-40B4-BE49-F238E27FC236}">
              <a16:creationId xmlns:a16="http://schemas.microsoft.com/office/drawing/2014/main" id="{00000000-0008-0000-0100-00007DB00F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fLocksWithSheet="0"/>
  </xdr:oneCellAnchor>
  <xdr:oneCellAnchor>
    <xdr:from>
      <xdr:col>1</xdr:col>
      <xdr:colOff>738</xdr:colOff>
      <xdr:row>82</xdr:row>
      <xdr:rowOff>148744</xdr:rowOff>
    </xdr:from>
    <xdr:ext cx="6216355" cy="4052840"/>
    <xdr:graphicFrame macro="">
      <xdr:nvGraphicFramePr>
        <xdr:cNvPr id="1467344755" name="Chart 14" title="Chart">
          <a:extLst>
            <a:ext uri="{FF2B5EF4-FFF2-40B4-BE49-F238E27FC236}">
              <a16:creationId xmlns:a16="http://schemas.microsoft.com/office/drawing/2014/main" id="{00000000-0008-0000-0100-000073E7755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fLocksWithSheet="0"/>
  </xdr:oneCellAnchor>
  <xdr:oneCellAnchor>
    <xdr:from>
      <xdr:col>13</xdr:col>
      <xdr:colOff>0</xdr:colOff>
      <xdr:row>82</xdr:row>
      <xdr:rowOff>148165</xdr:rowOff>
    </xdr:from>
    <xdr:ext cx="6290931" cy="4052359"/>
    <xdr:graphicFrame macro="">
      <xdr:nvGraphicFramePr>
        <xdr:cNvPr id="1889440820" name="Chart 15" title="Chart">
          <a:extLst>
            <a:ext uri="{FF2B5EF4-FFF2-40B4-BE49-F238E27FC236}">
              <a16:creationId xmlns:a16="http://schemas.microsoft.com/office/drawing/2014/main" id="{00000000-0008-0000-0100-000034949E7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fLocksWithSheet="0"/>
  </xdr:oneCellAnchor>
  <xdr:oneCellAnchor>
    <xdr:from>
      <xdr:col>1</xdr:col>
      <xdr:colOff>0</xdr:colOff>
      <xdr:row>104</xdr:row>
      <xdr:rowOff>85440</xdr:rowOff>
    </xdr:from>
    <xdr:ext cx="6246628" cy="4010309"/>
    <xdr:graphicFrame macro="">
      <xdr:nvGraphicFramePr>
        <xdr:cNvPr id="840801841" name="Chart 16" title="Chart">
          <a:extLst>
            <a:ext uri="{FF2B5EF4-FFF2-40B4-BE49-F238E27FC236}">
              <a16:creationId xmlns:a16="http://schemas.microsoft.com/office/drawing/2014/main" id="{00000000-0008-0000-0100-0000319E1D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fLocksWithSheet="0"/>
  </xdr:oneCellAnchor>
  <xdr:oneCellAnchor>
    <xdr:from>
      <xdr:col>13</xdr:col>
      <xdr:colOff>9525</xdr:colOff>
      <xdr:row>104</xdr:row>
      <xdr:rowOff>84666</xdr:rowOff>
    </xdr:from>
    <xdr:ext cx="6290931" cy="4031191"/>
    <xdr:graphicFrame macro="">
      <xdr:nvGraphicFramePr>
        <xdr:cNvPr id="992497145" name="Chart 17" title="Chart">
          <a:extLst>
            <a:ext uri="{FF2B5EF4-FFF2-40B4-BE49-F238E27FC236}">
              <a16:creationId xmlns:a16="http://schemas.microsoft.com/office/drawing/2014/main" id="{00000000-0008-0000-0100-0000F94D283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fLocksWithSheet="0"/>
  </xdr:oneCellAnchor>
  <xdr:oneCellAnchor>
    <xdr:from>
      <xdr:col>1</xdr:col>
      <xdr:colOff>739</xdr:colOff>
      <xdr:row>148</xdr:row>
      <xdr:rowOff>0</xdr:rowOff>
    </xdr:from>
    <xdr:ext cx="12684494" cy="4252383"/>
    <xdr:graphicFrame macro="">
      <xdr:nvGraphicFramePr>
        <xdr:cNvPr id="1561745786" name="Chart 18" title="Chart">
          <a:extLst>
            <a:ext uri="{FF2B5EF4-FFF2-40B4-BE49-F238E27FC236}">
              <a16:creationId xmlns:a16="http://schemas.microsoft.com/office/drawing/2014/main" id="{00000000-0008-0000-0100-00007A59165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fLocksWithSheet="0"/>
  </xdr:oneCellAnchor>
  <xdr:oneCellAnchor>
    <xdr:from>
      <xdr:col>0</xdr:col>
      <xdr:colOff>866776</xdr:colOff>
      <xdr:row>170</xdr:row>
      <xdr:rowOff>150283</xdr:rowOff>
    </xdr:from>
    <xdr:ext cx="12711642" cy="4174067"/>
    <xdr:graphicFrame macro="">
      <xdr:nvGraphicFramePr>
        <xdr:cNvPr id="1578901982" name="Chart 19" title="Chart">
          <a:extLst>
            <a:ext uri="{FF2B5EF4-FFF2-40B4-BE49-F238E27FC236}">
              <a16:creationId xmlns:a16="http://schemas.microsoft.com/office/drawing/2014/main" id="{00000000-0008-0000-0100-0000DE211C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fLocksWithSheet="0"/>
  </xdr:oneCellAnchor>
  <xdr:oneCellAnchor>
    <xdr:from>
      <xdr:col>0</xdr:col>
      <xdr:colOff>857250</xdr:colOff>
      <xdr:row>193</xdr:row>
      <xdr:rowOff>71965</xdr:rowOff>
    </xdr:from>
    <xdr:ext cx="12721167" cy="4204759"/>
    <xdr:graphicFrame macro="">
      <xdr:nvGraphicFramePr>
        <xdr:cNvPr id="499514569" name="Chart 20" title="Chart">
          <a:extLst>
            <a:ext uri="{FF2B5EF4-FFF2-40B4-BE49-F238E27FC236}">
              <a16:creationId xmlns:a16="http://schemas.microsoft.com/office/drawing/2014/main" id="{00000000-0008-0000-0100-0000C9FCC51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fLocksWithSheet="0"/>
  </xdr:oneCellAnchor>
  <xdr:oneCellAnchor>
    <xdr:from>
      <xdr:col>0</xdr:col>
      <xdr:colOff>857250</xdr:colOff>
      <xdr:row>215</xdr:row>
      <xdr:rowOff>142875</xdr:rowOff>
    </xdr:from>
    <xdr:ext cx="12718001" cy="4324350"/>
    <xdr:graphicFrame macro="">
      <xdr:nvGraphicFramePr>
        <xdr:cNvPr id="1510764752" name="Chart 21" title="Chart">
          <a:extLst>
            <a:ext uri="{FF2B5EF4-FFF2-40B4-BE49-F238E27FC236}">
              <a16:creationId xmlns:a16="http://schemas.microsoft.com/office/drawing/2014/main" id="{00000000-0008-0000-0100-0000D0700C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fLocksWithSheet="0"/>
  </xdr:oneCellAnchor>
  <xdr:oneCellAnchor>
    <xdr:from>
      <xdr:col>1</xdr:col>
      <xdr:colOff>0</xdr:colOff>
      <xdr:row>125</xdr:row>
      <xdr:rowOff>190499</xdr:rowOff>
    </xdr:from>
    <xdr:ext cx="6246627" cy="4105275"/>
    <xdr:graphicFrame macro="">
      <xdr:nvGraphicFramePr>
        <xdr:cNvPr id="1410853202" name="Chart 22" title="Chart">
          <a:extLst>
            <a:ext uri="{FF2B5EF4-FFF2-40B4-BE49-F238E27FC236}">
              <a16:creationId xmlns:a16="http://schemas.microsoft.com/office/drawing/2014/main" id="{00000000-0008-0000-0100-000052E9175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fLocksWithSheet="0"/>
  </xdr:oneCellAnchor>
  <xdr:oneCellAnchor>
    <xdr:from>
      <xdr:col>13</xdr:col>
      <xdr:colOff>9525</xdr:colOff>
      <xdr:row>125</xdr:row>
      <xdr:rowOff>190499</xdr:rowOff>
    </xdr:from>
    <xdr:ext cx="6273008" cy="4105275"/>
    <xdr:graphicFrame macro="">
      <xdr:nvGraphicFramePr>
        <xdr:cNvPr id="2072803148" name="Chart 23" title="Chart">
          <a:extLst>
            <a:ext uri="{FF2B5EF4-FFF2-40B4-BE49-F238E27FC236}">
              <a16:creationId xmlns:a16="http://schemas.microsoft.com/office/drawing/2014/main" id="{00000000-0008-0000-0100-00004C778C7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fLocksWithSheet="0"/>
  </xdr:oneCellAnchor>
  <xdr:oneCellAnchor>
    <xdr:from>
      <xdr:col>20</xdr:col>
      <xdr:colOff>1816100</xdr:colOff>
      <xdr:row>61</xdr:row>
      <xdr:rowOff>28576</xdr:rowOff>
    </xdr:from>
    <xdr:ext cx="5922039" cy="3934016"/>
    <xdr:graphicFrame macro="">
      <xdr:nvGraphicFramePr>
        <xdr:cNvPr id="647949770" name="Chart 24" title="Chart">
          <a:extLst>
            <a:ext uri="{FF2B5EF4-FFF2-40B4-BE49-F238E27FC236}">
              <a16:creationId xmlns:a16="http://schemas.microsoft.com/office/drawing/2014/main" id="{00000000-0008-0000-0100-0000CAED9E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fLocksWithSheet="0"/>
  </xdr:oneCellAnchor>
  <xdr:oneCellAnchor>
    <xdr:from>
      <xdr:col>29</xdr:col>
      <xdr:colOff>9526</xdr:colOff>
      <xdr:row>61</xdr:row>
      <xdr:rowOff>28575</xdr:rowOff>
    </xdr:from>
    <xdr:ext cx="5365824" cy="3897841"/>
    <xdr:graphicFrame macro="">
      <xdr:nvGraphicFramePr>
        <xdr:cNvPr id="843015592" name="Chart 25" title="Chart">
          <a:extLst>
            <a:ext uri="{FF2B5EF4-FFF2-40B4-BE49-F238E27FC236}">
              <a16:creationId xmlns:a16="http://schemas.microsoft.com/office/drawing/2014/main" id="{00000000-0008-0000-0100-0000A8653F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fLocksWithSheet="0"/>
  </xdr:oneCellAnchor>
  <xdr:oneCellAnchor>
    <xdr:from>
      <xdr:col>20</xdr:col>
      <xdr:colOff>1816100</xdr:colOff>
      <xdr:row>82</xdr:row>
      <xdr:rowOff>66675</xdr:rowOff>
    </xdr:from>
    <xdr:ext cx="5951574" cy="4079199"/>
    <xdr:graphicFrame macro="">
      <xdr:nvGraphicFramePr>
        <xdr:cNvPr id="780116589" name="Chart 26" title="Chart">
          <a:extLst>
            <a:ext uri="{FF2B5EF4-FFF2-40B4-BE49-F238E27FC236}">
              <a16:creationId xmlns:a16="http://schemas.microsoft.com/office/drawing/2014/main" id="{00000000-0008-0000-0100-00006DA27F2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fLocksWithSheet="0"/>
  </xdr:oneCellAnchor>
  <xdr:oneCellAnchor>
    <xdr:from>
      <xdr:col>29</xdr:col>
      <xdr:colOff>28576</xdr:colOff>
      <xdr:row>82</xdr:row>
      <xdr:rowOff>85725</xdr:rowOff>
    </xdr:from>
    <xdr:ext cx="5361542" cy="4041775"/>
    <xdr:graphicFrame macro="">
      <xdr:nvGraphicFramePr>
        <xdr:cNvPr id="22011543" name="Chart 27" title="Chart">
          <a:extLst>
            <a:ext uri="{FF2B5EF4-FFF2-40B4-BE49-F238E27FC236}">
              <a16:creationId xmlns:a16="http://schemas.microsoft.com/office/drawing/2014/main" id="{00000000-0008-0000-0100-000097DE4F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fLocksWithSheet="0"/>
  </xdr:oneCellAnchor>
  <xdr:oneCellAnchor>
    <xdr:from>
      <xdr:col>21</xdr:col>
      <xdr:colOff>0</xdr:colOff>
      <xdr:row>104</xdr:row>
      <xdr:rowOff>74083</xdr:rowOff>
    </xdr:from>
    <xdr:ext cx="5947834" cy="4050242"/>
    <xdr:graphicFrame macro="">
      <xdr:nvGraphicFramePr>
        <xdr:cNvPr id="1595558590" name="Chart 28" title="Chart">
          <a:extLst>
            <a:ext uri="{FF2B5EF4-FFF2-40B4-BE49-F238E27FC236}">
              <a16:creationId xmlns:a16="http://schemas.microsoft.com/office/drawing/2014/main" id="{00000000-0008-0000-0100-0000BE4A1A5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fLocksWithSheet="0"/>
  </xdr:oneCellAnchor>
  <xdr:oneCellAnchor>
    <xdr:from>
      <xdr:col>29</xdr:col>
      <xdr:colOff>28576</xdr:colOff>
      <xdr:row>104</xdr:row>
      <xdr:rowOff>92191</xdr:rowOff>
    </xdr:from>
    <xdr:ext cx="5347758" cy="4013084"/>
    <xdr:graphicFrame macro="">
      <xdr:nvGraphicFramePr>
        <xdr:cNvPr id="145588737" name="Chart 29" title="Chart">
          <a:extLst>
            <a:ext uri="{FF2B5EF4-FFF2-40B4-BE49-F238E27FC236}">
              <a16:creationId xmlns:a16="http://schemas.microsoft.com/office/drawing/2014/main" id="{00000000-0008-0000-0100-00000182AD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fLocksWithSheet="0"/>
  </xdr:oneCellAnchor>
  <xdr:oneCellAnchor>
    <xdr:from>
      <xdr:col>20</xdr:col>
      <xdr:colOff>1816100</xdr:colOff>
      <xdr:row>147</xdr:row>
      <xdr:rowOff>171450</xdr:rowOff>
    </xdr:from>
    <xdr:ext cx="11508317" cy="4252383"/>
    <xdr:graphicFrame macro="">
      <xdr:nvGraphicFramePr>
        <xdr:cNvPr id="1333982761" name="Chart 30" title="Chart">
          <a:extLst>
            <a:ext uri="{FF2B5EF4-FFF2-40B4-BE49-F238E27FC236}">
              <a16:creationId xmlns:a16="http://schemas.microsoft.com/office/drawing/2014/main" id="{00000000-0008-0000-0100-000029F6824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fLocksWithSheet="0"/>
  </xdr:oneCellAnchor>
  <xdr:oneCellAnchor>
    <xdr:from>
      <xdr:col>20</xdr:col>
      <xdr:colOff>1816101</xdr:colOff>
      <xdr:row>170</xdr:row>
      <xdr:rowOff>137583</xdr:rowOff>
    </xdr:from>
    <xdr:ext cx="11478890" cy="4174067"/>
    <xdr:graphicFrame macro="">
      <xdr:nvGraphicFramePr>
        <xdr:cNvPr id="375313259" name="Chart 31" title="Chart">
          <a:extLst>
            <a:ext uri="{FF2B5EF4-FFF2-40B4-BE49-F238E27FC236}">
              <a16:creationId xmlns:a16="http://schemas.microsoft.com/office/drawing/2014/main" id="{00000000-0008-0000-0100-00006BD35E1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fLocksWithSheet="0"/>
  </xdr:oneCellAnchor>
  <xdr:oneCellAnchor>
    <xdr:from>
      <xdr:col>20</xdr:col>
      <xdr:colOff>1816101</xdr:colOff>
      <xdr:row>193</xdr:row>
      <xdr:rowOff>52915</xdr:rowOff>
    </xdr:from>
    <xdr:ext cx="11479424" cy="4204759"/>
    <xdr:graphicFrame macro="">
      <xdr:nvGraphicFramePr>
        <xdr:cNvPr id="1539849284" name="Chart 32" title="Chart">
          <a:extLst>
            <a:ext uri="{FF2B5EF4-FFF2-40B4-BE49-F238E27FC236}">
              <a16:creationId xmlns:a16="http://schemas.microsoft.com/office/drawing/2014/main" id="{00000000-0008-0000-0100-0000443CC85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fLocksWithSheet="0"/>
  </xdr:oneCellAnchor>
  <xdr:oneCellAnchor>
    <xdr:from>
      <xdr:col>20</xdr:col>
      <xdr:colOff>1816100</xdr:colOff>
      <xdr:row>215</xdr:row>
      <xdr:rowOff>123825</xdr:rowOff>
    </xdr:from>
    <xdr:ext cx="11476567" cy="4324350"/>
    <xdr:graphicFrame macro="">
      <xdr:nvGraphicFramePr>
        <xdr:cNvPr id="1771069451" name="Chart 33" title="Chart">
          <a:extLst>
            <a:ext uri="{FF2B5EF4-FFF2-40B4-BE49-F238E27FC236}">
              <a16:creationId xmlns:a16="http://schemas.microsoft.com/office/drawing/2014/main" id="{00000000-0008-0000-0100-00000B60906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fLocksWithSheet="0"/>
  </xdr:oneCellAnchor>
  <xdr:oneCellAnchor>
    <xdr:from>
      <xdr:col>20</xdr:col>
      <xdr:colOff>1816100</xdr:colOff>
      <xdr:row>126</xdr:row>
      <xdr:rowOff>30171</xdr:rowOff>
    </xdr:from>
    <xdr:ext cx="5952067" cy="4080267"/>
    <xdr:graphicFrame macro="">
      <xdr:nvGraphicFramePr>
        <xdr:cNvPr id="225741222" name="Chart 34" title="Chart">
          <a:extLst>
            <a:ext uri="{FF2B5EF4-FFF2-40B4-BE49-F238E27FC236}">
              <a16:creationId xmlns:a16="http://schemas.microsoft.com/office/drawing/2014/main" id="{00000000-0008-0000-0100-0000A689740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fLocksWithSheet="0"/>
  </xdr:oneCellAnchor>
  <xdr:oneCellAnchor>
    <xdr:from>
      <xdr:col>29</xdr:col>
      <xdr:colOff>9526</xdr:colOff>
      <xdr:row>126</xdr:row>
      <xdr:rowOff>10583</xdr:rowOff>
    </xdr:from>
    <xdr:ext cx="5347758" cy="4042833"/>
    <xdr:graphicFrame macro="">
      <xdr:nvGraphicFramePr>
        <xdr:cNvPr id="1382986544" name="Chart 35" title="Chart">
          <a:extLst>
            <a:ext uri="{FF2B5EF4-FFF2-40B4-BE49-F238E27FC236}">
              <a16:creationId xmlns:a16="http://schemas.microsoft.com/office/drawing/2014/main" id="{00000000-0008-0000-0100-000030B36E5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fLocksWithSheet="0"/>
  </xdr:oneCellAnchor>
  <xdr:oneCellAnchor>
    <xdr:from>
      <xdr:col>1</xdr:col>
      <xdr:colOff>0</xdr:colOff>
      <xdr:row>243</xdr:row>
      <xdr:rowOff>180975</xdr:rowOff>
    </xdr:from>
    <xdr:ext cx="6209629" cy="3925754"/>
    <xdr:graphicFrame macro="">
      <xdr:nvGraphicFramePr>
        <xdr:cNvPr id="993762550" name="Chart 36" title="Chart">
          <a:extLst>
            <a:ext uri="{FF2B5EF4-FFF2-40B4-BE49-F238E27FC236}">
              <a16:creationId xmlns:a16="http://schemas.microsoft.com/office/drawing/2014/main" id="{00000000-0008-0000-0100-0000F69C3B3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fLocksWithSheet="0"/>
  </xdr:oneCellAnchor>
  <xdr:oneCellAnchor>
    <xdr:from>
      <xdr:col>13</xdr:col>
      <xdr:colOff>9526</xdr:colOff>
      <xdr:row>243</xdr:row>
      <xdr:rowOff>180975</xdr:rowOff>
    </xdr:from>
    <xdr:ext cx="6245522" cy="3925754"/>
    <xdr:graphicFrame macro="">
      <xdr:nvGraphicFramePr>
        <xdr:cNvPr id="1223115083" name="Chart 37" title="Chart">
          <a:extLst>
            <a:ext uri="{FF2B5EF4-FFF2-40B4-BE49-F238E27FC236}">
              <a16:creationId xmlns:a16="http://schemas.microsoft.com/office/drawing/2014/main" id="{00000000-0008-0000-0100-00004B41E7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fLocksWithSheet="0"/>
  </xdr:oneCellAnchor>
  <xdr:oneCellAnchor>
    <xdr:from>
      <xdr:col>1</xdr:col>
      <xdr:colOff>9525</xdr:colOff>
      <xdr:row>265</xdr:row>
      <xdr:rowOff>9526</xdr:rowOff>
    </xdr:from>
    <xdr:ext cx="6209629" cy="3989170"/>
    <xdr:graphicFrame macro="">
      <xdr:nvGraphicFramePr>
        <xdr:cNvPr id="1862625905" name="Chart 38" title="Chart">
          <a:extLst>
            <a:ext uri="{FF2B5EF4-FFF2-40B4-BE49-F238E27FC236}">
              <a16:creationId xmlns:a16="http://schemas.microsoft.com/office/drawing/2014/main" id="{00000000-0008-0000-0100-0000716A05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fLocksWithSheet="0"/>
  </xdr:oneCellAnchor>
  <xdr:oneCellAnchor>
    <xdr:from>
      <xdr:col>13</xdr:col>
      <xdr:colOff>9525</xdr:colOff>
      <xdr:row>265</xdr:row>
      <xdr:rowOff>28575</xdr:rowOff>
    </xdr:from>
    <xdr:ext cx="6227575" cy="3952487"/>
    <xdr:graphicFrame macro="">
      <xdr:nvGraphicFramePr>
        <xdr:cNvPr id="1640305379" name="Chart 39" title="Chart">
          <a:extLst>
            <a:ext uri="{FF2B5EF4-FFF2-40B4-BE49-F238E27FC236}">
              <a16:creationId xmlns:a16="http://schemas.microsoft.com/office/drawing/2014/main" id="{00000000-0008-0000-0100-0000E312C56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fLocksWithSheet="0"/>
  </xdr:oneCellAnchor>
  <xdr:oneCellAnchor>
    <xdr:from>
      <xdr:col>1</xdr:col>
      <xdr:colOff>9525</xdr:colOff>
      <xdr:row>286</xdr:row>
      <xdr:rowOff>104775</xdr:rowOff>
    </xdr:from>
    <xdr:ext cx="6209629" cy="4103636"/>
    <xdr:graphicFrame macro="">
      <xdr:nvGraphicFramePr>
        <xdr:cNvPr id="1361133828" name="Chart 40" title="Chart">
          <a:extLst>
            <a:ext uri="{FF2B5EF4-FFF2-40B4-BE49-F238E27FC236}">
              <a16:creationId xmlns:a16="http://schemas.microsoft.com/office/drawing/2014/main" id="{00000000-0008-0000-0100-00000441215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fLocksWithSheet="0"/>
  </xdr:oneCellAnchor>
  <xdr:oneCellAnchor>
    <xdr:from>
      <xdr:col>13</xdr:col>
      <xdr:colOff>28575</xdr:colOff>
      <xdr:row>286</xdr:row>
      <xdr:rowOff>123825</xdr:rowOff>
    </xdr:from>
    <xdr:ext cx="6209629" cy="4065988"/>
    <xdr:graphicFrame macro="">
      <xdr:nvGraphicFramePr>
        <xdr:cNvPr id="266377834" name="Chart 41" title="Chart">
          <a:extLst>
            <a:ext uri="{FF2B5EF4-FFF2-40B4-BE49-F238E27FC236}">
              <a16:creationId xmlns:a16="http://schemas.microsoft.com/office/drawing/2014/main" id="{00000000-0008-0000-0100-00006A9AE00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fLocksWithSheet="0"/>
  </xdr:oneCellAnchor>
  <xdr:oneCellAnchor>
    <xdr:from>
      <xdr:col>1</xdr:col>
      <xdr:colOff>326</xdr:colOff>
      <xdr:row>330</xdr:row>
      <xdr:rowOff>114300</xdr:rowOff>
    </xdr:from>
    <xdr:ext cx="12616589" cy="4213158"/>
    <xdr:graphicFrame macro="">
      <xdr:nvGraphicFramePr>
        <xdr:cNvPr id="50310187" name="Chart 42" title="Chart">
          <a:extLst>
            <a:ext uri="{FF2B5EF4-FFF2-40B4-BE49-F238E27FC236}">
              <a16:creationId xmlns:a16="http://schemas.microsoft.com/office/drawing/2014/main" id="{00000000-0008-0000-0100-00002BACFF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fLocksWithSheet="0"/>
  </xdr:oneCellAnchor>
  <xdr:oneCellAnchor>
    <xdr:from>
      <xdr:col>0</xdr:col>
      <xdr:colOff>857250</xdr:colOff>
      <xdr:row>353</xdr:row>
      <xdr:rowOff>104626</xdr:rowOff>
    </xdr:from>
    <xdr:ext cx="12625493" cy="4071122"/>
    <xdr:graphicFrame macro="">
      <xdr:nvGraphicFramePr>
        <xdr:cNvPr id="1122418510" name="Chart 43" title="Chart">
          <a:extLst>
            <a:ext uri="{FF2B5EF4-FFF2-40B4-BE49-F238E27FC236}">
              <a16:creationId xmlns:a16="http://schemas.microsoft.com/office/drawing/2014/main" id="{00000000-0008-0000-0100-00004EBFE64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fLocksWithSheet="0"/>
  </xdr:oneCellAnchor>
  <xdr:oneCellAnchor>
    <xdr:from>
      <xdr:col>0</xdr:col>
      <xdr:colOff>863600</xdr:colOff>
      <xdr:row>375</xdr:row>
      <xdr:rowOff>140235</xdr:rowOff>
    </xdr:from>
    <xdr:ext cx="12589878" cy="4241265"/>
    <xdr:graphicFrame macro="">
      <xdr:nvGraphicFramePr>
        <xdr:cNvPr id="16722149" name="Chart 44" title="Chart">
          <a:extLst>
            <a:ext uri="{FF2B5EF4-FFF2-40B4-BE49-F238E27FC236}">
              <a16:creationId xmlns:a16="http://schemas.microsoft.com/office/drawing/2014/main" id="{00000000-0008-0000-0100-0000E528FF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fLocksWithSheet="0"/>
  </xdr:oneCellAnchor>
  <xdr:oneCellAnchor>
    <xdr:from>
      <xdr:col>0</xdr:col>
      <xdr:colOff>863600</xdr:colOff>
      <xdr:row>398</xdr:row>
      <xdr:rowOff>152102</xdr:rowOff>
    </xdr:from>
    <xdr:ext cx="12589878" cy="4229397"/>
    <xdr:graphicFrame macro="">
      <xdr:nvGraphicFramePr>
        <xdr:cNvPr id="1160889964" name="Chart 45" title="Chart">
          <a:extLst>
            <a:ext uri="{FF2B5EF4-FFF2-40B4-BE49-F238E27FC236}">
              <a16:creationId xmlns:a16="http://schemas.microsoft.com/office/drawing/2014/main" id="{00000000-0008-0000-0100-00006CC6314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fLocksWithSheet="0"/>
  </xdr:oneCellAnchor>
  <xdr:oneCellAnchor>
    <xdr:from>
      <xdr:col>1</xdr:col>
      <xdr:colOff>9525</xdr:colOff>
      <xdr:row>308</xdr:row>
      <xdr:rowOff>66675</xdr:rowOff>
    </xdr:from>
    <xdr:ext cx="6272443" cy="4130110"/>
    <xdr:graphicFrame macro="">
      <xdr:nvGraphicFramePr>
        <xdr:cNvPr id="289369563" name="Chart 46" title="Chart">
          <a:extLst>
            <a:ext uri="{FF2B5EF4-FFF2-40B4-BE49-F238E27FC236}">
              <a16:creationId xmlns:a16="http://schemas.microsoft.com/office/drawing/2014/main" id="{00000000-0008-0000-0100-0000DB6D3F1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fLocksWithSheet="0"/>
  </xdr:oneCellAnchor>
  <xdr:oneCellAnchor>
    <xdr:from>
      <xdr:col>13</xdr:col>
      <xdr:colOff>28575</xdr:colOff>
      <xdr:row>308</xdr:row>
      <xdr:rowOff>85724</xdr:rowOff>
    </xdr:from>
    <xdr:ext cx="6209629" cy="4092219"/>
    <xdr:graphicFrame macro="">
      <xdr:nvGraphicFramePr>
        <xdr:cNvPr id="250569783" name="Chart 47" title="Chart">
          <a:extLst>
            <a:ext uri="{FF2B5EF4-FFF2-40B4-BE49-F238E27FC236}">
              <a16:creationId xmlns:a16="http://schemas.microsoft.com/office/drawing/2014/main" id="{00000000-0008-0000-0100-00003764EF0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fLocksWithSheet="0"/>
  </xdr:oneCellAnchor>
  <xdr:oneCellAnchor>
    <xdr:from>
      <xdr:col>21</xdr:col>
      <xdr:colOff>0</xdr:colOff>
      <xdr:row>243</xdr:row>
      <xdr:rowOff>123825</xdr:rowOff>
    </xdr:from>
    <xdr:ext cx="5937925" cy="3968268"/>
    <xdr:graphicFrame macro="">
      <xdr:nvGraphicFramePr>
        <xdr:cNvPr id="246454644" name="Chart 48" title="Chart">
          <a:extLst>
            <a:ext uri="{FF2B5EF4-FFF2-40B4-BE49-F238E27FC236}">
              <a16:creationId xmlns:a16="http://schemas.microsoft.com/office/drawing/2014/main" id="{00000000-0008-0000-0100-00007499B00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fLocksWithSheet="0"/>
  </xdr:oneCellAnchor>
  <xdr:oneCellAnchor>
    <xdr:from>
      <xdr:col>29</xdr:col>
      <xdr:colOff>4748</xdr:colOff>
      <xdr:row>243</xdr:row>
      <xdr:rowOff>123826</xdr:rowOff>
    </xdr:from>
    <xdr:ext cx="5371981" cy="3959166"/>
    <xdr:graphicFrame macro="">
      <xdr:nvGraphicFramePr>
        <xdr:cNvPr id="1626988856" name="Chart 49" title="Chart">
          <a:extLst>
            <a:ext uri="{FF2B5EF4-FFF2-40B4-BE49-F238E27FC236}">
              <a16:creationId xmlns:a16="http://schemas.microsoft.com/office/drawing/2014/main" id="{00000000-0008-0000-0100-000038E1F96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fLocksWithSheet="0"/>
  </xdr:oneCellAnchor>
  <xdr:oneCellAnchor>
    <xdr:from>
      <xdr:col>21</xdr:col>
      <xdr:colOff>9525</xdr:colOff>
      <xdr:row>265</xdr:row>
      <xdr:rowOff>35606</xdr:rowOff>
    </xdr:from>
    <xdr:ext cx="5937925" cy="3946431"/>
    <xdr:graphicFrame macro="">
      <xdr:nvGraphicFramePr>
        <xdr:cNvPr id="391071401" name="Chart 50" title="Chart">
          <a:extLst>
            <a:ext uri="{FF2B5EF4-FFF2-40B4-BE49-F238E27FC236}">
              <a16:creationId xmlns:a16="http://schemas.microsoft.com/office/drawing/2014/main" id="{00000000-0008-0000-0100-0000A9464F1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fLocksWithSheet="0"/>
  </xdr:oneCellAnchor>
  <xdr:oneCellAnchor>
    <xdr:from>
      <xdr:col>29</xdr:col>
      <xdr:colOff>9525</xdr:colOff>
      <xdr:row>265</xdr:row>
      <xdr:rowOff>54074</xdr:rowOff>
    </xdr:from>
    <xdr:ext cx="5371981" cy="3910225"/>
    <xdr:graphicFrame macro="">
      <xdr:nvGraphicFramePr>
        <xdr:cNvPr id="704568085" name="Chart 51" title="Chart">
          <a:extLst>
            <a:ext uri="{FF2B5EF4-FFF2-40B4-BE49-F238E27FC236}">
              <a16:creationId xmlns:a16="http://schemas.microsoft.com/office/drawing/2014/main" id="{00000000-0008-0000-0100-000015DBFE2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fLocksWithSheet="0"/>
  </xdr:oneCellAnchor>
  <xdr:oneCellAnchor>
    <xdr:from>
      <xdr:col>21</xdr:col>
      <xdr:colOff>9525</xdr:colOff>
      <xdr:row>286</xdr:row>
      <xdr:rowOff>130561</xdr:rowOff>
    </xdr:from>
    <xdr:ext cx="5937925" cy="4069964"/>
    <xdr:graphicFrame macro="">
      <xdr:nvGraphicFramePr>
        <xdr:cNvPr id="2018778542" name="Chart 52" title="Chart">
          <a:extLst>
            <a:ext uri="{FF2B5EF4-FFF2-40B4-BE49-F238E27FC236}">
              <a16:creationId xmlns:a16="http://schemas.microsoft.com/office/drawing/2014/main" id="{00000000-0008-0000-0100-0000AE1D547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fLocksWithSheet="0"/>
  </xdr:oneCellAnchor>
  <xdr:oneCellAnchor>
    <xdr:from>
      <xdr:col>29</xdr:col>
      <xdr:colOff>19050</xdr:colOff>
      <xdr:row>286</xdr:row>
      <xdr:rowOff>149421</xdr:rowOff>
    </xdr:from>
    <xdr:ext cx="5345031" cy="4060629"/>
    <xdr:graphicFrame macro="">
      <xdr:nvGraphicFramePr>
        <xdr:cNvPr id="1936509915" name="Chart 53" title="Chart">
          <a:extLst>
            <a:ext uri="{FF2B5EF4-FFF2-40B4-BE49-F238E27FC236}">
              <a16:creationId xmlns:a16="http://schemas.microsoft.com/office/drawing/2014/main" id="{00000000-0008-0000-0100-0000DBCB6C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fLocksWithSheet="0"/>
  </xdr:oneCellAnchor>
  <xdr:oneCellAnchor>
    <xdr:from>
      <xdr:col>21</xdr:col>
      <xdr:colOff>119</xdr:colOff>
      <xdr:row>330</xdr:row>
      <xdr:rowOff>57151</xdr:rowOff>
    </xdr:from>
    <xdr:ext cx="11560442" cy="4203878"/>
    <xdr:graphicFrame macro="">
      <xdr:nvGraphicFramePr>
        <xdr:cNvPr id="179117058" name="Chart 54" title="Chart">
          <a:extLst>
            <a:ext uri="{FF2B5EF4-FFF2-40B4-BE49-F238E27FC236}">
              <a16:creationId xmlns:a16="http://schemas.microsoft.com/office/drawing/2014/main" id="{00000000-0008-0000-0100-0000021CAD0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fLocksWithSheet="0"/>
  </xdr:oneCellAnchor>
  <xdr:oneCellAnchor>
    <xdr:from>
      <xdr:col>21</xdr:col>
      <xdr:colOff>119</xdr:colOff>
      <xdr:row>353</xdr:row>
      <xdr:rowOff>47476</xdr:rowOff>
    </xdr:from>
    <xdr:ext cx="11560442" cy="4071122"/>
    <xdr:graphicFrame macro="">
      <xdr:nvGraphicFramePr>
        <xdr:cNvPr id="432612063" name="Chart 55" title="Chart">
          <a:extLst>
            <a:ext uri="{FF2B5EF4-FFF2-40B4-BE49-F238E27FC236}">
              <a16:creationId xmlns:a16="http://schemas.microsoft.com/office/drawing/2014/main" id="{00000000-0008-0000-0100-0000DF22C91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fLocksWithSheet="0"/>
  </xdr:oneCellAnchor>
  <xdr:oneCellAnchor>
    <xdr:from>
      <xdr:col>21</xdr:col>
      <xdr:colOff>9525</xdr:colOff>
      <xdr:row>375</xdr:row>
      <xdr:rowOff>83085</xdr:rowOff>
    </xdr:from>
    <xdr:ext cx="11560442" cy="4241265"/>
    <xdr:graphicFrame macro="">
      <xdr:nvGraphicFramePr>
        <xdr:cNvPr id="1325428764" name="Chart 56" title="Chart">
          <a:extLst>
            <a:ext uri="{FF2B5EF4-FFF2-40B4-BE49-F238E27FC236}">
              <a16:creationId xmlns:a16="http://schemas.microsoft.com/office/drawing/2014/main" id="{00000000-0008-0000-0100-00001C70004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fLocksWithSheet="0"/>
  </xdr:oneCellAnchor>
  <xdr:oneCellAnchor>
    <xdr:from>
      <xdr:col>21</xdr:col>
      <xdr:colOff>9525</xdr:colOff>
      <xdr:row>398</xdr:row>
      <xdr:rowOff>94952</xdr:rowOff>
    </xdr:from>
    <xdr:ext cx="11560442" cy="4229397"/>
    <xdr:graphicFrame macro="">
      <xdr:nvGraphicFramePr>
        <xdr:cNvPr id="270751475" name="Chart 57" title="Chart">
          <a:extLst>
            <a:ext uri="{FF2B5EF4-FFF2-40B4-BE49-F238E27FC236}">
              <a16:creationId xmlns:a16="http://schemas.microsoft.com/office/drawing/2014/main" id="{00000000-0008-0000-0100-0000F356231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fLocksWithSheet="0"/>
  </xdr:oneCellAnchor>
  <xdr:oneCellAnchor>
    <xdr:from>
      <xdr:col>21</xdr:col>
      <xdr:colOff>119</xdr:colOff>
      <xdr:row>308</xdr:row>
      <xdr:rowOff>100478</xdr:rowOff>
    </xdr:from>
    <xdr:ext cx="5937925" cy="4052422"/>
    <xdr:graphicFrame macro="">
      <xdr:nvGraphicFramePr>
        <xdr:cNvPr id="912022983" name="Chart 58" title="Chart">
          <a:extLst>
            <a:ext uri="{FF2B5EF4-FFF2-40B4-BE49-F238E27FC236}">
              <a16:creationId xmlns:a16="http://schemas.microsoft.com/office/drawing/2014/main" id="{00000000-0008-0000-0100-0000C75D5C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fLocksWithSheet="0"/>
  </xdr:oneCellAnchor>
  <xdr:oneCellAnchor>
    <xdr:from>
      <xdr:col>29</xdr:col>
      <xdr:colOff>1</xdr:colOff>
      <xdr:row>308</xdr:row>
      <xdr:rowOff>118692</xdr:rowOff>
    </xdr:from>
    <xdr:ext cx="5380964" cy="4015158"/>
    <xdr:graphicFrame macro="">
      <xdr:nvGraphicFramePr>
        <xdr:cNvPr id="351665910" name="Chart 59" title="Chart">
          <a:extLst>
            <a:ext uri="{FF2B5EF4-FFF2-40B4-BE49-F238E27FC236}">
              <a16:creationId xmlns:a16="http://schemas.microsoft.com/office/drawing/2014/main" id="{00000000-0008-0000-0100-0000F6FEF51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fLocksWithSheet="0"/>
  </xdr:oneCellAnchor>
  <xdr:oneCellAnchor>
    <xdr:from>
      <xdr:col>20</xdr:col>
      <xdr:colOff>369185</xdr:colOff>
      <xdr:row>2</xdr:row>
      <xdr:rowOff>14768</xdr:rowOff>
    </xdr:from>
    <xdr:ext cx="6719186" cy="6246627"/>
    <xdr:graphicFrame macro="">
      <xdr:nvGraphicFramePr>
        <xdr:cNvPr id="2" name="Chart 4" title="Chart">
          <a:extLst>
            <a:ext uri="{FF2B5EF4-FFF2-40B4-BE49-F238E27FC236}">
              <a16:creationId xmlns:a16="http://schemas.microsoft.com/office/drawing/2014/main" id="{9A40423C-174F-8A46-9C3E-7D6D6C52A7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fLocksWithSheet="0"/>
  </xdr:oneCellAnchor>
  <xdr:oneCellAnchor>
    <xdr:from>
      <xdr:col>27</xdr:col>
      <xdr:colOff>321059</xdr:colOff>
      <xdr:row>2</xdr:row>
      <xdr:rowOff>14766</xdr:rowOff>
    </xdr:from>
    <xdr:ext cx="6161849" cy="6246627"/>
    <xdr:graphicFrame macro="">
      <xdr:nvGraphicFramePr>
        <xdr:cNvPr id="3" name="Chart 4" title="Chart">
          <a:extLst>
            <a:ext uri="{FF2B5EF4-FFF2-40B4-BE49-F238E27FC236}">
              <a16:creationId xmlns:a16="http://schemas.microsoft.com/office/drawing/2014/main" id="{E28AAC75-343A-BF40-B8CD-CDCB8670A3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fLocksWithSheet="0"/>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paulagarcia/Downloads/Date%20tracking%20Gantt%20chart.xlsx" TargetMode="External"/><Relationship Id="rId1" Type="http://schemas.openxmlformats.org/officeDocument/2006/relationships/externalLinkPath" Target="/Users/paulagarcia/Downloads/Date%20tracking%20Gantt%20ch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bout"/>
      <sheetName val="Green"/>
      <sheetName val="Blue"/>
      <sheetName val="Purple"/>
      <sheetName val="Gantt Chart Task List"/>
    </sheetNames>
    <sheetDataSet>
      <sheetData sheetId="0" refreshError="1"/>
      <sheetData sheetId="1" refreshError="1"/>
      <sheetData sheetId="2" refreshError="1"/>
      <sheetData sheetId="3" refreshError="1">
        <row r="5">
          <cell r="C5">
            <v>45187</v>
          </cell>
          <cell r="U5">
            <v>13</v>
          </cell>
        </row>
        <row r="6">
          <cell r="C6">
            <v>1</v>
          </cell>
        </row>
      </sheetData>
      <sheetData sheetId="4" refreshError="1"/>
    </sheetDataSet>
  </externalBook>
</externalLink>
</file>

<file path=xl/theme/theme1.xml><?xml version="1.0" encoding="utf-8"?>
<a:theme xmlns:a="http://schemas.openxmlformats.org/drawingml/2006/main" name="Theme AIHR Excel">
  <a:themeElements>
    <a:clrScheme name="Sheets">
      <a:dk1>
        <a:srgbClr val="31216B"/>
      </a:dk1>
      <a:lt1>
        <a:srgbClr val="FFFFFF"/>
      </a:lt1>
      <a:dk2>
        <a:srgbClr val="31216B"/>
      </a:dk2>
      <a:lt2>
        <a:srgbClr val="FFFFFF"/>
      </a:lt2>
      <a:accent1>
        <a:srgbClr val="B0E7FF"/>
      </a:accent1>
      <a:accent2>
        <a:srgbClr val="BEBEFF"/>
      </a:accent2>
      <a:accent3>
        <a:srgbClr val="8BD4DB"/>
      </a:accent3>
      <a:accent4>
        <a:srgbClr val="FFD38F"/>
      </a:accent4>
      <a:accent5>
        <a:srgbClr val="FABE9F"/>
      </a:accent5>
      <a:accent6>
        <a:srgbClr val="FFD0D4"/>
      </a:accent6>
      <a:hlink>
        <a:srgbClr val="1EBBF0"/>
      </a:hlink>
      <a:folHlink>
        <a:srgbClr val="1EBBF0"/>
      </a:folHlink>
    </a:clrScheme>
    <a:fontScheme name="Sheets">
      <a:majorFont>
        <a:latin typeface="Roboto"/>
        <a:ea typeface="Roboto"/>
        <a:cs typeface="Roboto"/>
      </a:majorFont>
      <a:minorFont>
        <a:latin typeface="Roboto"/>
        <a:ea typeface="Roboto"/>
        <a:cs typeface="Roboto"/>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hyperlink" Target="https://www.nationsonline.org/oneworld/korea_north.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E16FB-3DAC-E34F-82CB-B7CA7C3A82CA}">
  <sheetPr>
    <tabColor rgb="FFCEF4FF"/>
  </sheetPr>
  <dimension ref="A1:O41"/>
  <sheetViews>
    <sheetView tabSelected="1" workbookViewId="0">
      <selection activeCell="E46" sqref="E46"/>
    </sheetView>
  </sheetViews>
  <sheetFormatPr baseColWidth="10" defaultRowHeight="14"/>
  <cols>
    <col min="1" max="14" width="9.28515625" style="176" customWidth="1"/>
    <col min="15" max="15" width="15.7109375" style="176" customWidth="1"/>
    <col min="16" max="16384" width="10.7109375" style="176"/>
  </cols>
  <sheetData>
    <row r="1" spans="1:15">
      <c r="A1" s="173"/>
      <c r="B1" s="174"/>
      <c r="C1" s="174"/>
      <c r="D1" s="174"/>
      <c r="E1" s="174"/>
      <c r="F1" s="174"/>
      <c r="G1" s="174"/>
      <c r="H1" s="174"/>
      <c r="I1" s="174"/>
      <c r="J1" s="174"/>
      <c r="K1" s="174"/>
      <c r="L1" s="174"/>
      <c r="M1" s="174"/>
      <c r="N1" s="174"/>
      <c r="O1" s="175"/>
    </row>
    <row r="2" spans="1:15">
      <c r="A2" s="177"/>
      <c r="O2" s="178"/>
    </row>
    <row r="3" spans="1:15">
      <c r="A3" s="177"/>
      <c r="O3" s="178"/>
    </row>
    <row r="4" spans="1:15">
      <c r="A4" s="177"/>
      <c r="O4" s="178"/>
    </row>
    <row r="5" spans="1:15">
      <c r="A5" s="177"/>
      <c r="O5" s="178"/>
    </row>
    <row r="6" spans="1:15">
      <c r="A6" s="177"/>
      <c r="O6" s="178"/>
    </row>
    <row r="7" spans="1:15">
      <c r="A7" s="177"/>
      <c r="O7" s="178"/>
    </row>
    <row r="8" spans="1:15">
      <c r="A8" s="177"/>
      <c r="O8" s="178"/>
    </row>
    <row r="9" spans="1:15">
      <c r="A9" s="177"/>
      <c r="O9" s="178"/>
    </row>
    <row r="10" spans="1:15">
      <c r="A10" s="177"/>
      <c r="O10" s="178"/>
    </row>
    <row r="11" spans="1:15">
      <c r="A11" s="177"/>
      <c r="O11" s="178"/>
    </row>
    <row r="12" spans="1:15">
      <c r="A12" s="177"/>
      <c r="O12" s="178"/>
    </row>
    <row r="13" spans="1:15">
      <c r="A13" s="177"/>
      <c r="O13" s="178"/>
    </row>
    <row r="14" spans="1:15">
      <c r="A14" s="177"/>
      <c r="O14" s="178"/>
    </row>
    <row r="15" spans="1:15">
      <c r="A15" s="177"/>
      <c r="O15" s="178"/>
    </row>
    <row r="16" spans="1:15">
      <c r="A16" s="177"/>
      <c r="O16" s="178"/>
    </row>
    <row r="17" spans="1:15">
      <c r="A17" s="177"/>
      <c r="O17" s="178"/>
    </row>
    <row r="18" spans="1:15">
      <c r="A18" s="177"/>
      <c r="O18" s="178"/>
    </row>
    <row r="19" spans="1:15">
      <c r="A19" s="177"/>
      <c r="O19" s="178"/>
    </row>
    <row r="20" spans="1:15">
      <c r="A20" s="177"/>
      <c r="O20" s="178"/>
    </row>
    <row r="21" spans="1:15">
      <c r="A21" s="177"/>
      <c r="O21" s="178"/>
    </row>
    <row r="22" spans="1:15">
      <c r="A22" s="177"/>
      <c r="O22" s="178"/>
    </row>
    <row r="23" spans="1:15">
      <c r="A23" s="177"/>
      <c r="O23" s="178"/>
    </row>
    <row r="24" spans="1:15">
      <c r="A24" s="177"/>
      <c r="O24" s="178"/>
    </row>
    <row r="25" spans="1:15">
      <c r="A25" s="177"/>
      <c r="O25" s="178"/>
    </row>
    <row r="26" spans="1:15">
      <c r="A26" s="177"/>
      <c r="O26" s="178"/>
    </row>
    <row r="27" spans="1:15">
      <c r="A27" s="177"/>
      <c r="O27" s="178"/>
    </row>
    <row r="28" spans="1:15">
      <c r="A28" s="177"/>
      <c r="O28" s="178"/>
    </row>
    <row r="29" spans="1:15">
      <c r="A29" s="177"/>
      <c r="O29" s="178"/>
    </row>
    <row r="30" spans="1:15">
      <c r="A30" s="177"/>
      <c r="O30" s="178"/>
    </row>
    <row r="31" spans="1:15">
      <c r="A31" s="177"/>
      <c r="O31" s="178"/>
    </row>
    <row r="32" spans="1:15">
      <c r="A32" s="177"/>
      <c r="O32" s="178"/>
    </row>
    <row r="33" spans="1:15">
      <c r="A33" s="177"/>
      <c r="O33" s="178"/>
    </row>
    <row r="34" spans="1:15">
      <c r="A34" s="177"/>
      <c r="O34" s="178"/>
    </row>
    <row r="35" spans="1:15">
      <c r="A35" s="177"/>
      <c r="O35" s="178"/>
    </row>
    <row r="36" spans="1:15">
      <c r="A36" s="177"/>
      <c r="O36" s="178"/>
    </row>
    <row r="37" spans="1:15">
      <c r="A37" s="177"/>
      <c r="O37" s="178"/>
    </row>
    <row r="38" spans="1:15">
      <c r="A38" s="177"/>
      <c r="O38" s="178"/>
    </row>
    <row r="39" spans="1:15">
      <c r="A39" s="177"/>
      <c r="O39" s="178"/>
    </row>
    <row r="40" spans="1:15">
      <c r="A40" s="177"/>
      <c r="O40" s="178"/>
    </row>
    <row r="41" spans="1:15" ht="14" customHeight="1" thickBot="1">
      <c r="A41" s="179"/>
      <c r="B41" s="180"/>
      <c r="C41" s="180"/>
      <c r="D41" s="180"/>
      <c r="E41" s="180"/>
      <c r="F41" s="180"/>
      <c r="G41" s="180"/>
      <c r="H41" s="180"/>
      <c r="I41" s="180"/>
      <c r="J41" s="180"/>
      <c r="K41" s="180"/>
      <c r="L41" s="180"/>
      <c r="M41" s="180"/>
      <c r="N41" s="180"/>
      <c r="O41" s="18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91"/>
  <sheetViews>
    <sheetView showGridLines="0" zoomScale="90" zoomScaleNormal="90" workbookViewId="0">
      <selection activeCell="F6" sqref="F6"/>
    </sheetView>
  </sheetViews>
  <sheetFormatPr baseColWidth="10" defaultColWidth="10.28515625" defaultRowHeight="15" customHeight="1"/>
  <cols>
    <col min="1" max="1" width="10.140625" style="32" customWidth="1"/>
    <col min="2" max="2" width="12.7109375" style="32" customWidth="1"/>
    <col min="3" max="3" width="102.85546875" style="32" customWidth="1"/>
    <col min="4" max="26" width="9.42578125" style="32" customWidth="1"/>
    <col min="27" max="16384" width="10.28515625" style="32"/>
  </cols>
  <sheetData>
    <row r="1" spans="1:10" s="37" customFormat="1" ht="75.75" customHeight="1">
      <c r="A1" s="170"/>
      <c r="B1" s="171" t="s">
        <v>906</v>
      </c>
      <c r="C1" s="170"/>
      <c r="D1" s="170"/>
      <c r="E1" s="170"/>
      <c r="F1" s="170"/>
      <c r="G1" s="170"/>
      <c r="H1" s="172"/>
      <c r="I1" s="172"/>
      <c r="J1" s="172"/>
    </row>
    <row r="2" spans="1:10" ht="24" customHeight="1">
      <c r="A2" s="37"/>
      <c r="B2" s="46"/>
      <c r="C2" s="37"/>
    </row>
    <row r="3" spans="1:10" ht="45" customHeight="1">
      <c r="A3" s="37"/>
      <c r="B3" s="47" t="s">
        <v>0</v>
      </c>
      <c r="C3" s="48" t="s">
        <v>1</v>
      </c>
    </row>
    <row r="4" spans="1:10" ht="30" customHeight="1">
      <c r="A4" s="37"/>
      <c r="B4" s="132" t="s">
        <v>2</v>
      </c>
      <c r="C4" s="49" t="s">
        <v>907</v>
      </c>
    </row>
    <row r="5" spans="1:10" ht="30" customHeight="1">
      <c r="A5" s="37"/>
      <c r="B5" s="133"/>
      <c r="C5" s="50" t="s">
        <v>901</v>
      </c>
    </row>
    <row r="6" spans="1:10" ht="30" customHeight="1">
      <c r="A6" s="37"/>
      <c r="B6" s="134"/>
      <c r="C6" s="51" t="s">
        <v>902</v>
      </c>
    </row>
    <row r="7" spans="1:10" ht="25.5" customHeight="1">
      <c r="A7" s="37"/>
      <c r="B7" s="135" t="s">
        <v>3</v>
      </c>
      <c r="C7" s="136"/>
    </row>
    <row r="8" spans="1:10" ht="34.5" customHeight="1">
      <c r="A8" s="37"/>
      <c r="B8" s="52" t="s">
        <v>4</v>
      </c>
      <c r="C8" s="53" t="s">
        <v>5</v>
      </c>
    </row>
    <row r="9" spans="1:10" ht="34.5" customHeight="1">
      <c r="A9" s="37"/>
      <c r="B9" s="54" t="s">
        <v>6</v>
      </c>
      <c r="C9" s="50" t="s">
        <v>903</v>
      </c>
    </row>
    <row r="10" spans="1:10" ht="22.5" customHeight="1">
      <c r="A10" s="37"/>
      <c r="B10" s="132" t="s">
        <v>7</v>
      </c>
      <c r="C10" s="50" t="s">
        <v>904</v>
      </c>
    </row>
    <row r="11" spans="1:10" ht="45" customHeight="1">
      <c r="A11" s="37"/>
      <c r="B11" s="133"/>
      <c r="C11" s="50" t="s">
        <v>8</v>
      </c>
    </row>
    <row r="12" spans="1:10" ht="30" customHeight="1">
      <c r="A12" s="37"/>
      <c r="B12" s="133"/>
      <c r="C12" s="55" t="s">
        <v>9</v>
      </c>
    </row>
    <row r="13" spans="1:10" ht="30" customHeight="1">
      <c r="A13" s="37"/>
      <c r="B13" s="134"/>
      <c r="C13" s="50" t="s">
        <v>10</v>
      </c>
    </row>
    <row r="14" spans="1:10" ht="59" customHeight="1">
      <c r="A14" s="37"/>
      <c r="B14" s="56" t="s">
        <v>11</v>
      </c>
      <c r="C14" s="57" t="s">
        <v>905</v>
      </c>
    </row>
    <row r="15" spans="1:10" ht="15.75" customHeight="1">
      <c r="A15" s="37"/>
      <c r="B15" s="37"/>
      <c r="C15" s="37"/>
    </row>
    <row r="16" spans="1:10" ht="15.75" customHeight="1">
      <c r="A16" s="37"/>
      <c r="B16" s="37"/>
      <c r="C16" s="37"/>
    </row>
    <row r="17" spans="1:3" ht="39.75" customHeight="1">
      <c r="A17" s="37"/>
      <c r="B17" s="137" t="s">
        <v>900</v>
      </c>
      <c r="C17" s="138"/>
    </row>
    <row r="18" spans="1:3" ht="3" customHeight="1">
      <c r="A18" s="37"/>
      <c r="B18" s="58"/>
      <c r="C18" s="59"/>
    </row>
    <row r="19" spans="1:3" ht="48" customHeight="1">
      <c r="A19" s="37"/>
      <c r="B19" s="137" t="s">
        <v>12</v>
      </c>
      <c r="C19" s="138"/>
    </row>
    <row r="20" spans="1:3" ht="15.75" customHeight="1">
      <c r="A20" s="37"/>
      <c r="B20" s="37"/>
      <c r="C20" s="37"/>
    </row>
    <row r="21" spans="1:3" ht="15.75" customHeight="1">
      <c r="A21" s="37"/>
      <c r="B21" s="37"/>
      <c r="C21" s="37"/>
    </row>
    <row r="22" spans="1:3" ht="15.75" customHeight="1">
      <c r="A22" s="37"/>
      <c r="B22" s="37"/>
      <c r="C22" s="37"/>
    </row>
    <row r="23" spans="1:3" ht="15.75" customHeight="1">
      <c r="A23" s="37"/>
      <c r="B23" s="37"/>
      <c r="C23" s="37"/>
    </row>
    <row r="24" spans="1:3" ht="15.75" customHeight="1">
      <c r="A24" s="37"/>
      <c r="B24" s="37"/>
      <c r="C24" s="37"/>
    </row>
    <row r="25" spans="1:3" ht="15.75" customHeight="1"/>
    <row r="26" spans="1:3" ht="15.75" customHeight="1"/>
    <row r="27" spans="1:3" ht="15.75" customHeight="1"/>
    <row r="28" spans="1:3" ht="15.75" customHeight="1"/>
    <row r="29" spans="1:3" ht="15.75" customHeight="1"/>
    <row r="30" spans="1:3" ht="15.75" customHeight="1"/>
    <row r="31" spans="1:3" ht="15.75" customHeight="1"/>
    <row r="32" spans="1:3"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sheetData>
  <mergeCells count="5">
    <mergeCell ref="B4:B6"/>
    <mergeCell ref="B7:C7"/>
    <mergeCell ref="B10:B13"/>
    <mergeCell ref="B17:C17"/>
    <mergeCell ref="B19:C19"/>
  </mergeCell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1000"/>
  <sheetViews>
    <sheetView showGridLines="0" showZeros="0" topLeftCell="B1" zoomScaleNormal="100" workbookViewId="0">
      <selection activeCell="B1" sqref="B1:AJ1"/>
    </sheetView>
  </sheetViews>
  <sheetFormatPr baseColWidth="10" defaultColWidth="10.28515625" defaultRowHeight="15" customHeight="1"/>
  <cols>
    <col min="1" max="2" width="9.7109375" style="32" customWidth="1"/>
    <col min="3" max="3" width="9.42578125" style="32" customWidth="1"/>
    <col min="4" max="5" width="2.42578125" style="32" customWidth="1"/>
    <col min="6" max="7" width="9.42578125" style="32" customWidth="1"/>
    <col min="8" max="8" width="2.140625" style="32" customWidth="1"/>
    <col min="9" max="9" width="2.7109375" style="32" customWidth="1"/>
    <col min="10" max="10" width="9.42578125" style="32" customWidth="1"/>
    <col min="11" max="11" width="12.5703125" style="32" customWidth="1"/>
    <col min="12" max="12" width="9.7109375" style="32" hidden="1" customWidth="1"/>
    <col min="13" max="13" width="2.140625" style="32" customWidth="1"/>
    <col min="14" max="15" width="9.42578125" style="32" customWidth="1"/>
    <col min="16" max="16" width="3" style="32" customWidth="1"/>
    <col min="17" max="17" width="19.85546875" style="32" customWidth="1"/>
    <col min="18" max="18" width="9.7109375" style="32" customWidth="1"/>
    <col min="19" max="20" width="9.42578125" style="32" customWidth="1"/>
    <col min="21" max="21" width="20.42578125" style="32" customWidth="1"/>
    <col min="22" max="22" width="9.7109375" style="32" customWidth="1"/>
    <col min="23" max="28" width="9.42578125" style="32" customWidth="1"/>
    <col min="29" max="29" width="2.85546875" style="32" customWidth="1"/>
    <col min="30" max="30" width="3.5703125" style="32" customWidth="1"/>
    <col min="31" max="37" width="9.42578125" style="32" customWidth="1"/>
    <col min="38" max="16384" width="10.28515625" style="32"/>
  </cols>
  <sheetData>
    <row r="1" spans="1:40" ht="70.5" customHeight="1">
      <c r="A1" s="30"/>
      <c r="B1" s="139" t="s">
        <v>13</v>
      </c>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38"/>
      <c r="AK1" s="31"/>
    </row>
    <row r="2" spans="1:40" ht="19.5" customHeight="1">
      <c r="A2" s="30"/>
      <c r="B2" s="33"/>
      <c r="C2" s="33"/>
      <c r="D2" s="33"/>
      <c r="E2" s="33"/>
      <c r="F2" s="33"/>
      <c r="G2" s="33"/>
      <c r="H2" s="33"/>
      <c r="I2" s="33"/>
      <c r="J2" s="33"/>
      <c r="K2" s="33"/>
      <c r="L2" s="33"/>
      <c r="M2" s="33"/>
      <c r="N2" s="33"/>
      <c r="O2" s="33"/>
      <c r="P2" s="33"/>
      <c r="Q2" s="33"/>
      <c r="R2" s="33"/>
      <c r="S2" s="33"/>
      <c r="T2" s="33"/>
      <c r="U2" s="33"/>
      <c r="V2" s="30"/>
      <c r="W2" s="30"/>
      <c r="X2" s="30"/>
      <c r="Y2" s="30"/>
      <c r="Z2" s="30"/>
      <c r="AA2" s="30"/>
      <c r="AB2" s="30"/>
      <c r="AC2" s="30"/>
      <c r="AD2" s="30"/>
      <c r="AE2" s="30"/>
      <c r="AF2" s="30"/>
      <c r="AG2" s="30"/>
      <c r="AH2" s="30"/>
      <c r="AI2" s="30"/>
      <c r="AJ2" s="30"/>
      <c r="AK2" s="30"/>
    </row>
    <row r="3" spans="1:40" ht="84" customHeight="1">
      <c r="A3" s="34"/>
      <c r="D3" s="60"/>
      <c r="E3" s="60"/>
      <c r="V3" s="30"/>
      <c r="AL3" s="141">
        <f>COUNTIF('Tracking Sheet'!$AL$5:$AL$504,"active")</f>
        <v>21</v>
      </c>
      <c r="AM3" s="142"/>
      <c r="AN3" s="143"/>
    </row>
    <row r="4" spans="1:40" ht="58.5" customHeight="1">
      <c r="A4" s="30"/>
      <c r="D4" s="60"/>
      <c r="E4" s="60"/>
      <c r="V4" s="30"/>
      <c r="AL4" s="144" t="s">
        <v>14</v>
      </c>
      <c r="AM4" s="142"/>
      <c r="AN4" s="143"/>
    </row>
    <row r="5" spans="1:40" ht="15.75" customHeight="1">
      <c r="A5" s="30"/>
      <c r="V5" s="30"/>
      <c r="AL5" s="36"/>
      <c r="AM5" s="36"/>
      <c r="AN5" s="36"/>
    </row>
    <row r="6" spans="1:40" ht="82.5" customHeight="1">
      <c r="A6" s="30"/>
      <c r="V6" s="30"/>
      <c r="AL6" s="141">
        <f>COUNTIF(Calculations!$B$255:$B$363,"&gt;0")</f>
        <v>8</v>
      </c>
      <c r="AM6" s="142"/>
      <c r="AN6" s="143"/>
    </row>
    <row r="7" spans="1:40" ht="58.5" customHeight="1">
      <c r="A7" s="30"/>
      <c r="V7" s="30"/>
      <c r="AL7" s="144" t="s">
        <v>15</v>
      </c>
      <c r="AM7" s="142"/>
      <c r="AN7" s="143"/>
    </row>
    <row r="8" spans="1:40" ht="15.75" customHeight="1">
      <c r="A8" s="30"/>
      <c r="V8" s="30"/>
      <c r="AL8" s="37"/>
      <c r="AM8" s="37"/>
      <c r="AN8" s="37"/>
    </row>
    <row r="9" spans="1:40" ht="82.5" customHeight="1">
      <c r="A9" s="30"/>
      <c r="V9" s="30"/>
      <c r="AL9" s="141">
        <f>COUNTIF(Calculations!$A$31:$B$252,"&gt;0")</f>
        <v>11</v>
      </c>
      <c r="AM9" s="142"/>
      <c r="AN9" s="143"/>
    </row>
    <row r="10" spans="1:40" ht="58.5" customHeight="1">
      <c r="A10" s="30"/>
      <c r="V10" s="30"/>
      <c r="AL10" s="144" t="s">
        <v>16</v>
      </c>
      <c r="AM10" s="142"/>
      <c r="AN10" s="143"/>
    </row>
    <row r="11" spans="1:40" ht="15.75" customHeight="1">
      <c r="A11" s="30"/>
      <c r="V11" s="30"/>
      <c r="AL11" s="37"/>
      <c r="AM11" s="37"/>
      <c r="AN11" s="37"/>
    </row>
    <row r="12" spans="1:40" ht="82.5" customHeight="1">
      <c r="A12" s="30"/>
      <c r="V12" s="30"/>
      <c r="AL12" s="145">
        <f>COUNTIF('Tracking Sheet'!$I$5:$I$504,"Yes")</f>
        <v>11</v>
      </c>
      <c r="AM12" s="146"/>
      <c r="AN12" s="147"/>
    </row>
    <row r="13" spans="1:40" ht="58.5" customHeight="1">
      <c r="A13" s="61"/>
      <c r="V13" s="30"/>
      <c r="AK13" s="62"/>
      <c r="AL13" s="148" t="s">
        <v>17</v>
      </c>
      <c r="AM13" s="149"/>
      <c r="AN13" s="150"/>
    </row>
    <row r="14" spans="1:40" ht="15.75" customHeight="1">
      <c r="A14" s="30"/>
      <c r="V14" s="30"/>
      <c r="AL14" s="37"/>
      <c r="AM14" s="37"/>
      <c r="AN14" s="37"/>
    </row>
    <row r="15" spans="1:40" ht="82.5" customHeight="1">
      <c r="A15" s="30"/>
      <c r="V15" s="30"/>
      <c r="AL15" s="141">
        <f ca="1">COUNTIF('Tracking Sheet'!$AX$5:$AX$504,Calculations!K1)</f>
        <v>0</v>
      </c>
      <c r="AM15" s="142"/>
      <c r="AN15" s="143"/>
    </row>
    <row r="16" spans="1:40" ht="57.75" customHeight="1">
      <c r="A16" s="30"/>
      <c r="V16" s="30"/>
      <c r="AL16" s="144" t="s">
        <v>18</v>
      </c>
      <c r="AM16" s="142"/>
      <c r="AN16" s="143"/>
    </row>
    <row r="17" spans="1:40" ht="15.75" customHeight="1">
      <c r="A17" s="30"/>
      <c r="V17" s="30"/>
      <c r="AL17" s="37"/>
      <c r="AM17" s="37"/>
      <c r="AN17" s="37"/>
    </row>
    <row r="18" spans="1:40" ht="82.5" customHeight="1">
      <c r="A18" s="30"/>
      <c r="V18" s="30"/>
      <c r="AL18" s="141">
        <f ca="1">COUNTIF('Tracking Sheet'!$AY$5:$AY$504,Calculations!K1)</f>
        <v>0</v>
      </c>
      <c r="AM18" s="142"/>
      <c r="AN18" s="143"/>
    </row>
    <row r="19" spans="1:40" ht="60" customHeight="1">
      <c r="A19" s="30"/>
      <c r="V19" s="30"/>
      <c r="AL19" s="144" t="s">
        <v>19</v>
      </c>
      <c r="AM19" s="142"/>
      <c r="AN19" s="143"/>
    </row>
    <row r="20" spans="1:40" ht="15.75" customHeight="1">
      <c r="A20" s="30"/>
      <c r="V20" s="30"/>
      <c r="AL20" s="37"/>
      <c r="AM20" s="37"/>
      <c r="AN20" s="37"/>
    </row>
    <row r="21" spans="1:40" ht="81.75" customHeight="1">
      <c r="A21" s="30"/>
      <c r="V21" s="30"/>
      <c r="AL21" s="151">
        <f ca="1">IF(AL3=0,"",Calculations!F125/AL3)</f>
        <v>4.1904761904761907</v>
      </c>
      <c r="AM21" s="142"/>
      <c r="AN21" s="143"/>
    </row>
    <row r="22" spans="1:40" ht="60" customHeight="1">
      <c r="A22" s="30"/>
      <c r="V22" s="30"/>
      <c r="AL22" s="144" t="s">
        <v>20</v>
      </c>
      <c r="AM22" s="142"/>
      <c r="AN22" s="143"/>
    </row>
    <row r="23" spans="1:40" ht="15.75" customHeight="1">
      <c r="A23" s="30"/>
      <c r="V23" s="30"/>
    </row>
    <row r="24" spans="1:40" ht="18.75" customHeight="1">
      <c r="A24" s="30"/>
      <c r="V24" s="30"/>
    </row>
    <row r="25" spans="1:40" ht="15.75" customHeight="1">
      <c r="A25" s="30"/>
      <c r="V25" s="30"/>
    </row>
    <row r="26" spans="1:40" ht="15.75" customHeight="1">
      <c r="A26" s="30"/>
      <c r="V26" s="30"/>
    </row>
    <row r="27" spans="1:40" ht="15.75" customHeight="1">
      <c r="A27" s="30"/>
      <c r="V27" s="30"/>
    </row>
    <row r="28" spans="1:40" ht="15.75" customHeight="1">
      <c r="A28" s="30"/>
      <c r="V28" s="30"/>
    </row>
    <row r="29" spans="1:40" ht="15.75" customHeight="1">
      <c r="A29" s="30"/>
      <c r="V29" s="30"/>
    </row>
    <row r="30" spans="1:40" ht="15.75" customHeight="1">
      <c r="A30" s="30"/>
      <c r="V30" s="30"/>
    </row>
    <row r="31" spans="1:40" ht="15.75" customHeight="1">
      <c r="A31" s="30"/>
      <c r="V31" s="30"/>
    </row>
    <row r="32" spans="1:40" ht="15.75" customHeight="1">
      <c r="A32" s="30"/>
      <c r="V32" s="30"/>
    </row>
    <row r="33" spans="1:22" ht="15.75" customHeight="1">
      <c r="A33" s="30"/>
      <c r="V33" s="30"/>
    </row>
    <row r="34" spans="1:22" ht="15.75" customHeight="1">
      <c r="A34" s="30"/>
      <c r="V34" s="30"/>
    </row>
    <row r="35" spans="1:22" ht="15.75" customHeight="1">
      <c r="A35" s="30"/>
      <c r="V35" s="30"/>
    </row>
    <row r="36" spans="1:22" ht="15.75" customHeight="1">
      <c r="A36" s="30"/>
      <c r="V36" s="30"/>
    </row>
    <row r="37" spans="1:22" ht="15.75" customHeight="1">
      <c r="A37" s="30"/>
      <c r="V37" s="30"/>
    </row>
    <row r="38" spans="1:22" ht="15.75" customHeight="1">
      <c r="A38" s="30"/>
      <c r="V38" s="30"/>
    </row>
    <row r="39" spans="1:22" ht="15.75" customHeight="1">
      <c r="A39" s="30"/>
      <c r="V39" s="30"/>
    </row>
    <row r="40" spans="1:22" ht="15.75" customHeight="1">
      <c r="A40" s="30"/>
      <c r="V40" s="30"/>
    </row>
    <row r="41" spans="1:22" ht="15.75" customHeight="1">
      <c r="V41" s="30"/>
    </row>
    <row r="42" spans="1:22" ht="15.75" customHeight="1">
      <c r="V42" s="30"/>
    </row>
    <row r="43" spans="1:22" ht="15.75" customHeight="1">
      <c r="V43" s="30"/>
    </row>
    <row r="44" spans="1:22" ht="15.75" customHeight="1">
      <c r="V44" s="30"/>
    </row>
    <row r="45" spans="1:22" ht="15.75" customHeight="1">
      <c r="V45" s="30"/>
    </row>
    <row r="46" spans="1:22" ht="15.75" customHeight="1">
      <c r="V46" s="30"/>
    </row>
    <row r="47" spans="1:22" ht="15.75" customHeight="1">
      <c r="A47" s="30"/>
      <c r="V47" s="30"/>
    </row>
    <row r="48" spans="1:22" ht="15.75" customHeight="1">
      <c r="A48" s="30"/>
      <c r="V48" s="30"/>
    </row>
    <row r="49" spans="1:37" ht="15.75" customHeight="1">
      <c r="A49" s="30"/>
      <c r="V49" s="30"/>
    </row>
    <row r="50" spans="1:37" ht="15.75" customHeight="1">
      <c r="A50" s="30"/>
      <c r="V50" s="30"/>
    </row>
    <row r="51" spans="1:37" ht="15.75" customHeight="1">
      <c r="A51" s="30"/>
      <c r="V51" s="30"/>
    </row>
    <row r="52" spans="1:37" ht="15.75" customHeight="1">
      <c r="A52" s="30"/>
      <c r="V52" s="30"/>
    </row>
    <row r="53" spans="1:37" ht="15.75" customHeight="1">
      <c r="A53" s="30"/>
      <c r="V53" s="30"/>
    </row>
    <row r="54" spans="1:37" ht="15.75" customHeight="1">
      <c r="A54" s="30"/>
      <c r="V54" s="30"/>
    </row>
    <row r="55" spans="1:37" ht="15.75" customHeight="1">
      <c r="A55" s="30"/>
      <c r="V55" s="30"/>
    </row>
    <row r="56" spans="1:37" ht="15.75" customHeight="1">
      <c r="A56" s="30"/>
      <c r="V56" s="30"/>
    </row>
    <row r="57" spans="1:37" ht="40.5" customHeight="1">
      <c r="A57" s="30"/>
      <c r="B57" s="153" t="s">
        <v>21</v>
      </c>
      <c r="C57" s="140"/>
      <c r="D57" s="140"/>
      <c r="E57" s="140"/>
      <c r="F57" s="140"/>
      <c r="G57" s="140"/>
      <c r="H57" s="140"/>
      <c r="I57" s="140"/>
      <c r="J57" s="140"/>
      <c r="K57" s="140"/>
      <c r="L57" s="140"/>
      <c r="M57" s="140"/>
      <c r="N57" s="140"/>
      <c r="O57" s="140"/>
      <c r="P57" s="140"/>
      <c r="Q57" s="140"/>
      <c r="R57" s="140"/>
      <c r="S57" s="140"/>
      <c r="T57" s="138"/>
      <c r="U57" s="38"/>
      <c r="V57" s="153" t="s">
        <v>22</v>
      </c>
      <c r="W57" s="140"/>
      <c r="X57" s="140"/>
      <c r="Y57" s="140"/>
      <c r="Z57" s="140"/>
      <c r="AA57" s="140"/>
      <c r="AB57" s="140"/>
      <c r="AC57" s="140"/>
      <c r="AD57" s="140"/>
      <c r="AE57" s="140"/>
      <c r="AF57" s="140"/>
      <c r="AG57" s="140"/>
      <c r="AH57" s="140"/>
      <c r="AI57" s="140"/>
      <c r="AJ57" s="138"/>
    </row>
    <row r="58" spans="1:37" ht="18.75" customHeight="1">
      <c r="A58" s="30"/>
      <c r="V58" s="39"/>
    </row>
    <row r="59" spans="1:37" ht="84" customHeight="1">
      <c r="A59" s="30"/>
      <c r="B59" s="145">
        <f ca="1">Calculations!G128</f>
        <v>0</v>
      </c>
      <c r="C59" s="152"/>
      <c r="D59" s="152"/>
      <c r="E59" s="152"/>
      <c r="F59" s="152"/>
      <c r="G59" s="152"/>
      <c r="H59" s="152"/>
      <c r="I59" s="152"/>
      <c r="J59" s="152"/>
      <c r="K59" s="147"/>
      <c r="N59" s="145">
        <f ca="1">Calculations!G134</f>
        <v>0</v>
      </c>
      <c r="O59" s="152"/>
      <c r="P59" s="152"/>
      <c r="Q59" s="152"/>
      <c r="R59" s="152"/>
      <c r="S59" s="152"/>
      <c r="T59" s="146"/>
      <c r="U59" s="40"/>
      <c r="V59" s="145">
        <f ca="1">Calculations!G129</f>
        <v>0</v>
      </c>
      <c r="W59" s="152"/>
      <c r="X59" s="152"/>
      <c r="Y59" s="152"/>
      <c r="Z59" s="152"/>
      <c r="AA59" s="152"/>
      <c r="AB59" s="146"/>
      <c r="AC59" s="35"/>
      <c r="AD59" s="145">
        <f ca="1">Calculations!G135</f>
        <v>0</v>
      </c>
      <c r="AE59" s="152"/>
      <c r="AF59" s="152"/>
      <c r="AG59" s="152"/>
      <c r="AH59" s="152"/>
      <c r="AI59" s="152"/>
      <c r="AJ59" s="147"/>
      <c r="AK59" s="35"/>
    </row>
    <row r="60" spans="1:37" ht="39.75" customHeight="1">
      <c r="A60" s="30"/>
      <c r="B60" s="154" t="s">
        <v>23</v>
      </c>
      <c r="C60" s="155"/>
      <c r="D60" s="155"/>
      <c r="E60" s="155"/>
      <c r="F60" s="155"/>
      <c r="G60" s="155"/>
      <c r="H60" s="155"/>
      <c r="I60" s="155"/>
      <c r="J60" s="155"/>
      <c r="K60" s="156"/>
      <c r="L60" s="41"/>
      <c r="M60" s="42"/>
      <c r="N60" s="154" t="s">
        <v>24</v>
      </c>
      <c r="O60" s="155"/>
      <c r="P60" s="155"/>
      <c r="Q60" s="155"/>
      <c r="R60" s="155"/>
      <c r="S60" s="155"/>
      <c r="T60" s="156"/>
      <c r="U60" s="43"/>
      <c r="V60" s="154" t="s">
        <v>23</v>
      </c>
      <c r="W60" s="155"/>
      <c r="X60" s="155"/>
      <c r="Y60" s="155"/>
      <c r="Z60" s="155"/>
      <c r="AA60" s="155"/>
      <c r="AB60" s="157"/>
      <c r="AC60" s="41"/>
      <c r="AD60" s="154" t="s">
        <v>24</v>
      </c>
      <c r="AE60" s="155"/>
      <c r="AF60" s="155"/>
      <c r="AG60" s="155"/>
      <c r="AH60" s="155"/>
      <c r="AI60" s="155"/>
      <c r="AJ60" s="157"/>
    </row>
    <row r="61" spans="1:37" ht="22.5" customHeight="1">
      <c r="A61" s="30"/>
      <c r="U61" s="30"/>
      <c r="V61" s="30"/>
      <c r="W61" s="30"/>
      <c r="X61" s="30"/>
      <c r="Y61" s="30"/>
    </row>
    <row r="62" spans="1:37" ht="15.75" customHeight="1">
      <c r="A62" s="30"/>
      <c r="U62" s="30"/>
      <c r="V62" s="30"/>
      <c r="W62" s="30"/>
      <c r="X62" s="30"/>
      <c r="Y62" s="30"/>
    </row>
    <row r="63" spans="1:37" ht="15.75" customHeight="1">
      <c r="A63" s="30"/>
      <c r="U63" s="30"/>
      <c r="V63" s="30"/>
      <c r="W63" s="30"/>
      <c r="X63" s="30"/>
      <c r="Y63" s="30"/>
    </row>
    <row r="64" spans="1:37" ht="15.75" customHeight="1">
      <c r="A64" s="30"/>
      <c r="U64" s="30"/>
      <c r="V64" s="30"/>
      <c r="W64" s="30"/>
      <c r="X64" s="30"/>
      <c r="Y64" s="30"/>
    </row>
    <row r="65" spans="1:29" ht="15.75" customHeight="1">
      <c r="A65" s="30"/>
      <c r="U65" s="30"/>
      <c r="V65" s="30"/>
      <c r="W65" s="30"/>
      <c r="X65" s="30"/>
      <c r="Y65" s="30"/>
    </row>
    <row r="66" spans="1:29" ht="15.75" customHeight="1">
      <c r="A66" s="30"/>
      <c r="U66" s="30"/>
      <c r="V66" s="30"/>
      <c r="W66" s="30"/>
      <c r="X66" s="30"/>
      <c r="Y66" s="30"/>
    </row>
    <row r="67" spans="1:29" ht="15.75" customHeight="1">
      <c r="A67" s="30"/>
      <c r="U67" s="30"/>
      <c r="V67" s="30"/>
      <c r="W67" s="30"/>
      <c r="X67" s="30"/>
      <c r="Y67" s="30"/>
    </row>
    <row r="68" spans="1:29" ht="15.75" customHeight="1">
      <c r="A68" s="30"/>
      <c r="U68" s="30"/>
      <c r="V68" s="30"/>
      <c r="W68" s="30"/>
      <c r="X68" s="30"/>
      <c r="Y68" s="30"/>
    </row>
    <row r="69" spans="1:29" ht="15.75" customHeight="1">
      <c r="A69" s="30"/>
      <c r="U69" s="30"/>
      <c r="V69" s="30"/>
      <c r="W69" s="30"/>
      <c r="X69" s="30"/>
      <c r="Y69" s="30"/>
    </row>
    <row r="70" spans="1:29" ht="15.75" customHeight="1">
      <c r="A70" s="30"/>
      <c r="U70" s="30"/>
      <c r="V70" s="30"/>
      <c r="W70" s="30"/>
      <c r="X70" s="30"/>
      <c r="Y70" s="30"/>
      <c r="AC70" s="30"/>
    </row>
    <row r="71" spans="1:29" ht="15.75" customHeight="1">
      <c r="A71" s="30"/>
      <c r="U71" s="30"/>
      <c r="V71" s="30"/>
      <c r="W71" s="30"/>
      <c r="X71" s="30"/>
      <c r="Y71" s="30"/>
    </row>
    <row r="72" spans="1:29" ht="15.75" customHeight="1">
      <c r="A72" s="30"/>
      <c r="U72" s="30"/>
      <c r="V72" s="30"/>
      <c r="W72" s="30"/>
      <c r="X72" s="30"/>
      <c r="Y72" s="30"/>
    </row>
    <row r="73" spans="1:29" ht="15.75" customHeight="1">
      <c r="A73" s="30"/>
      <c r="U73" s="30"/>
      <c r="V73" s="30"/>
      <c r="W73" s="30"/>
      <c r="X73" s="30"/>
      <c r="Y73" s="30"/>
    </row>
    <row r="74" spans="1:29" ht="15.75" customHeight="1">
      <c r="A74" s="30"/>
      <c r="U74" s="30"/>
      <c r="V74" s="30"/>
      <c r="W74" s="30"/>
      <c r="X74" s="30"/>
      <c r="Y74" s="30"/>
    </row>
    <row r="75" spans="1:29" ht="15.75" customHeight="1">
      <c r="A75" s="30"/>
      <c r="U75" s="30"/>
      <c r="V75" s="30"/>
      <c r="W75" s="30"/>
      <c r="X75" s="30"/>
      <c r="Y75" s="30"/>
    </row>
    <row r="76" spans="1:29" ht="15.75" customHeight="1">
      <c r="A76" s="30"/>
      <c r="U76" s="30"/>
      <c r="V76" s="30"/>
      <c r="W76" s="30"/>
      <c r="X76" s="30"/>
      <c r="Y76" s="30"/>
    </row>
    <row r="77" spans="1:29" ht="15.75" customHeight="1">
      <c r="A77" s="30"/>
      <c r="V77" s="30"/>
    </row>
    <row r="78" spans="1:29" ht="15.75" customHeight="1">
      <c r="A78" s="30"/>
      <c r="V78" s="30"/>
    </row>
    <row r="79" spans="1:29" ht="15.75" customHeight="1">
      <c r="A79" s="30"/>
      <c r="V79" s="30"/>
    </row>
    <row r="80" spans="1:29" ht="15.75" customHeight="1">
      <c r="A80" s="30"/>
      <c r="V80" s="30"/>
    </row>
    <row r="81" spans="1:22" ht="15.75" customHeight="1">
      <c r="A81" s="30"/>
      <c r="V81" s="30"/>
    </row>
    <row r="82" spans="1:22" ht="15.75" customHeight="1">
      <c r="A82" s="30"/>
      <c r="V82" s="30"/>
    </row>
    <row r="83" spans="1:22" ht="15.75" customHeight="1">
      <c r="A83" s="30"/>
      <c r="V83" s="30"/>
    </row>
    <row r="84" spans="1:22" ht="15.75" customHeight="1">
      <c r="A84" s="30"/>
      <c r="V84" s="30"/>
    </row>
    <row r="85" spans="1:22" ht="15.75" customHeight="1">
      <c r="A85" s="30"/>
      <c r="V85" s="30"/>
    </row>
    <row r="86" spans="1:22" ht="15.75" customHeight="1">
      <c r="A86" s="30"/>
      <c r="V86" s="30"/>
    </row>
    <row r="87" spans="1:22" ht="15.75" customHeight="1">
      <c r="A87" s="30"/>
      <c r="V87" s="30"/>
    </row>
    <row r="88" spans="1:22" ht="15.75" customHeight="1">
      <c r="A88" s="30"/>
      <c r="V88" s="30"/>
    </row>
    <row r="89" spans="1:22" ht="15.75" customHeight="1">
      <c r="A89" s="30"/>
      <c r="V89" s="30"/>
    </row>
    <row r="90" spans="1:22" ht="15.75" customHeight="1">
      <c r="A90" s="30"/>
      <c r="V90" s="30"/>
    </row>
    <row r="91" spans="1:22" ht="15.75" customHeight="1">
      <c r="A91" s="30"/>
      <c r="V91" s="30"/>
    </row>
    <row r="92" spans="1:22" ht="15.75" customHeight="1">
      <c r="A92" s="30"/>
      <c r="V92" s="30"/>
    </row>
    <row r="93" spans="1:22" ht="15.75" customHeight="1">
      <c r="A93" s="30"/>
      <c r="V93" s="30"/>
    </row>
    <row r="94" spans="1:22" ht="15.75" customHeight="1">
      <c r="A94" s="30"/>
      <c r="V94" s="30"/>
    </row>
    <row r="95" spans="1:22" ht="15.75" customHeight="1">
      <c r="A95" s="30"/>
      <c r="V95" s="30"/>
    </row>
    <row r="96" spans="1:22" ht="15.75" customHeight="1">
      <c r="A96" s="30"/>
      <c r="V96" s="30"/>
    </row>
    <row r="97" spans="1:22" ht="15.75" customHeight="1">
      <c r="A97" s="30"/>
      <c r="V97" s="30"/>
    </row>
    <row r="98" spans="1:22" ht="15.75" customHeight="1">
      <c r="A98" s="30"/>
      <c r="V98" s="30"/>
    </row>
    <row r="99" spans="1:22" ht="15.75" customHeight="1">
      <c r="A99" s="30"/>
      <c r="V99" s="30"/>
    </row>
    <row r="100" spans="1:22" ht="15.75" customHeight="1">
      <c r="A100" s="30"/>
      <c r="V100" s="30"/>
    </row>
    <row r="101" spans="1:22" ht="15.75" customHeight="1">
      <c r="A101" s="30"/>
      <c r="V101" s="30"/>
    </row>
    <row r="102" spans="1:22" ht="15.75" customHeight="1">
      <c r="A102" s="30"/>
      <c r="V102" s="30"/>
    </row>
    <row r="103" spans="1:22" ht="15.75" customHeight="1">
      <c r="A103" s="30"/>
      <c r="V103" s="30"/>
    </row>
    <row r="104" spans="1:22" ht="15.75" customHeight="1">
      <c r="A104" s="30"/>
      <c r="V104" s="30"/>
    </row>
    <row r="105" spans="1:22" ht="15.75" customHeight="1">
      <c r="A105" s="30"/>
      <c r="V105" s="30"/>
    </row>
    <row r="106" spans="1:22" ht="15.75" customHeight="1">
      <c r="A106" s="30"/>
      <c r="V106" s="30"/>
    </row>
    <row r="107" spans="1:22" ht="15.75" customHeight="1">
      <c r="A107" s="30"/>
      <c r="V107" s="30"/>
    </row>
    <row r="108" spans="1:22" ht="15.75" customHeight="1">
      <c r="A108" s="30"/>
      <c r="V108" s="30"/>
    </row>
    <row r="109" spans="1:22" ht="15.75" customHeight="1">
      <c r="A109" s="30"/>
      <c r="V109" s="30"/>
    </row>
    <row r="110" spans="1:22" ht="15.75" customHeight="1">
      <c r="A110" s="30"/>
      <c r="V110" s="30"/>
    </row>
    <row r="111" spans="1:22" ht="15.75" customHeight="1">
      <c r="A111" s="30"/>
      <c r="V111" s="30"/>
    </row>
    <row r="112" spans="1:22" ht="15.75" customHeight="1">
      <c r="A112" s="30"/>
      <c r="V112" s="30"/>
    </row>
    <row r="113" spans="1:22" ht="15.75" customHeight="1">
      <c r="A113" s="30"/>
      <c r="V113" s="30"/>
    </row>
    <row r="114" spans="1:22" ht="15.75" customHeight="1">
      <c r="A114" s="30"/>
      <c r="V114" s="30"/>
    </row>
    <row r="115" spans="1:22" ht="15.75" customHeight="1">
      <c r="A115" s="30"/>
      <c r="V115" s="30"/>
    </row>
    <row r="116" spans="1:22" ht="15.75" customHeight="1">
      <c r="A116" s="30"/>
      <c r="V116" s="30"/>
    </row>
    <row r="117" spans="1:22" ht="15.75" customHeight="1">
      <c r="A117" s="30"/>
      <c r="V117" s="30"/>
    </row>
    <row r="118" spans="1:22" ht="15.75" customHeight="1">
      <c r="A118" s="30"/>
      <c r="V118" s="30"/>
    </row>
    <row r="119" spans="1:22" ht="15.75" customHeight="1">
      <c r="A119" s="30"/>
      <c r="V119" s="30"/>
    </row>
    <row r="120" spans="1:22" ht="15.75" customHeight="1">
      <c r="A120" s="30"/>
      <c r="V120" s="30"/>
    </row>
    <row r="121" spans="1:22" ht="15.75" customHeight="1">
      <c r="A121" s="30"/>
      <c r="V121" s="30"/>
    </row>
    <row r="122" spans="1:22" ht="15.75" customHeight="1">
      <c r="A122" s="30"/>
      <c r="V122" s="30"/>
    </row>
    <row r="123" spans="1:22" ht="15.75" customHeight="1">
      <c r="A123" s="30"/>
      <c r="V123" s="30"/>
    </row>
    <row r="124" spans="1:22" ht="15.75" customHeight="1">
      <c r="A124" s="30"/>
      <c r="V124" s="30"/>
    </row>
    <row r="125" spans="1:22" ht="15.75" customHeight="1">
      <c r="A125" s="30"/>
      <c r="V125" s="30"/>
    </row>
    <row r="126" spans="1:22" ht="15.75" customHeight="1">
      <c r="A126" s="30"/>
      <c r="V126" s="30"/>
    </row>
    <row r="127" spans="1:22" ht="15.75" customHeight="1">
      <c r="A127" s="30"/>
      <c r="V127" s="30"/>
    </row>
    <row r="128" spans="1:22" ht="15.75" customHeight="1">
      <c r="A128" s="30"/>
      <c r="V128" s="30"/>
    </row>
    <row r="129" spans="1:22" ht="15.75" customHeight="1">
      <c r="A129" s="30"/>
      <c r="V129" s="30"/>
    </row>
    <row r="130" spans="1:22" ht="15.75" customHeight="1">
      <c r="A130" s="30"/>
      <c r="V130" s="30"/>
    </row>
    <row r="131" spans="1:22" ht="15.75" customHeight="1">
      <c r="A131" s="30"/>
      <c r="V131" s="30"/>
    </row>
    <row r="132" spans="1:22" ht="15.75" customHeight="1">
      <c r="A132" s="30"/>
      <c r="V132" s="30"/>
    </row>
    <row r="133" spans="1:22" ht="15.75" customHeight="1">
      <c r="A133" s="30"/>
      <c r="V133" s="30"/>
    </row>
    <row r="134" spans="1:22" ht="15.75" customHeight="1">
      <c r="A134" s="30"/>
      <c r="V134" s="30"/>
    </row>
    <row r="135" spans="1:22" ht="15.75" customHeight="1">
      <c r="A135" s="30"/>
      <c r="V135" s="30"/>
    </row>
    <row r="136" spans="1:22" ht="15.75" customHeight="1">
      <c r="A136" s="30"/>
      <c r="V136" s="30"/>
    </row>
    <row r="137" spans="1:22" ht="15.75" customHeight="1">
      <c r="A137" s="30"/>
      <c r="V137" s="30"/>
    </row>
    <row r="138" spans="1:22" ht="15.75" customHeight="1">
      <c r="A138" s="30"/>
      <c r="V138" s="30"/>
    </row>
    <row r="139" spans="1:22" ht="15.75" customHeight="1">
      <c r="A139" s="30"/>
      <c r="V139" s="30"/>
    </row>
    <row r="140" spans="1:22" ht="15.75" customHeight="1">
      <c r="A140" s="30"/>
      <c r="V140" s="30"/>
    </row>
    <row r="141" spans="1:22" ht="15.75" customHeight="1">
      <c r="A141" s="30"/>
      <c r="V141" s="30"/>
    </row>
    <row r="142" spans="1:22" ht="15.75" customHeight="1">
      <c r="A142" s="30"/>
      <c r="V142" s="30"/>
    </row>
    <row r="143" spans="1:22" ht="15.75" customHeight="1">
      <c r="A143" s="30"/>
      <c r="V143" s="30"/>
    </row>
    <row r="144" spans="1:22" ht="15.75" customHeight="1">
      <c r="A144" s="30"/>
      <c r="V144" s="30"/>
    </row>
    <row r="145" spans="1:22" ht="15.75" customHeight="1">
      <c r="A145" s="30"/>
      <c r="V145" s="30"/>
    </row>
    <row r="146" spans="1:22" ht="15.75" customHeight="1">
      <c r="A146" s="30"/>
      <c r="V146" s="30"/>
    </row>
    <row r="147" spans="1:22" ht="15.75" customHeight="1">
      <c r="A147" s="30"/>
      <c r="V147" s="30"/>
    </row>
    <row r="148" spans="1:22" ht="15.75" customHeight="1">
      <c r="A148" s="30"/>
      <c r="V148" s="30"/>
    </row>
    <row r="149" spans="1:22" ht="15.75" customHeight="1">
      <c r="A149" s="30"/>
      <c r="V149" s="30"/>
    </row>
    <row r="150" spans="1:22" ht="15.75" customHeight="1">
      <c r="A150" s="30"/>
      <c r="V150" s="30"/>
    </row>
    <row r="151" spans="1:22" ht="15.75" customHeight="1">
      <c r="A151" s="30"/>
      <c r="V151" s="30"/>
    </row>
    <row r="152" spans="1:22" ht="15.75" customHeight="1">
      <c r="A152" s="30"/>
      <c r="V152" s="30"/>
    </row>
    <row r="153" spans="1:22" ht="15.75" customHeight="1">
      <c r="A153" s="30"/>
      <c r="V153" s="30"/>
    </row>
    <row r="154" spans="1:22" ht="15.75" customHeight="1">
      <c r="A154" s="30"/>
      <c r="V154" s="30"/>
    </row>
    <row r="155" spans="1:22" ht="15.75" customHeight="1">
      <c r="A155" s="30"/>
      <c r="V155" s="30"/>
    </row>
    <row r="156" spans="1:22" ht="15.75" customHeight="1">
      <c r="A156" s="30"/>
      <c r="V156" s="30"/>
    </row>
    <row r="157" spans="1:22" ht="15.75" customHeight="1">
      <c r="A157" s="30"/>
      <c r="V157" s="30"/>
    </row>
    <row r="158" spans="1:22" ht="15.75" customHeight="1">
      <c r="A158" s="30"/>
      <c r="V158" s="30"/>
    </row>
    <row r="159" spans="1:22" ht="15.75" customHeight="1">
      <c r="A159" s="30"/>
      <c r="V159" s="30"/>
    </row>
    <row r="160" spans="1:22" ht="15.75" customHeight="1">
      <c r="A160" s="30"/>
      <c r="V160" s="30"/>
    </row>
    <row r="161" spans="1:22" ht="15.75" customHeight="1">
      <c r="A161" s="30"/>
      <c r="V161" s="30"/>
    </row>
    <row r="162" spans="1:22" ht="15.75" customHeight="1">
      <c r="A162" s="30"/>
      <c r="V162" s="30"/>
    </row>
    <row r="163" spans="1:22" ht="15.75" customHeight="1">
      <c r="A163" s="30"/>
      <c r="V163" s="30"/>
    </row>
    <row r="164" spans="1:22" ht="15.75" customHeight="1">
      <c r="A164" s="30"/>
      <c r="V164" s="30"/>
    </row>
    <row r="165" spans="1:22" ht="15.75" customHeight="1">
      <c r="A165" s="30"/>
      <c r="V165" s="30"/>
    </row>
    <row r="166" spans="1:22" ht="15.75" customHeight="1">
      <c r="A166" s="30"/>
      <c r="V166" s="30"/>
    </row>
    <row r="167" spans="1:22" ht="15.75" customHeight="1">
      <c r="A167" s="30"/>
      <c r="V167" s="30"/>
    </row>
    <row r="168" spans="1:22" ht="15.75" customHeight="1">
      <c r="A168" s="30"/>
      <c r="V168" s="30"/>
    </row>
    <row r="169" spans="1:22" ht="15.75" customHeight="1">
      <c r="A169" s="30"/>
      <c r="V169" s="30"/>
    </row>
    <row r="170" spans="1:22" ht="15.75" customHeight="1">
      <c r="A170" s="30"/>
      <c r="V170" s="30"/>
    </row>
    <row r="171" spans="1:22" ht="15.75" customHeight="1">
      <c r="A171" s="30"/>
      <c r="V171" s="30"/>
    </row>
    <row r="172" spans="1:22" ht="15.75" customHeight="1">
      <c r="A172" s="30"/>
      <c r="V172" s="30"/>
    </row>
    <row r="173" spans="1:22" ht="15.75" customHeight="1">
      <c r="A173" s="30"/>
      <c r="V173" s="30"/>
    </row>
    <row r="174" spans="1:22" ht="15.75" customHeight="1">
      <c r="A174" s="30"/>
      <c r="V174" s="30"/>
    </row>
    <row r="175" spans="1:22" ht="15.75" customHeight="1">
      <c r="A175" s="30"/>
      <c r="V175" s="30"/>
    </row>
    <row r="176" spans="1:22" ht="15.75" customHeight="1">
      <c r="A176" s="30"/>
      <c r="V176" s="30"/>
    </row>
    <row r="177" spans="1:22" ht="15.75" customHeight="1">
      <c r="A177" s="30"/>
      <c r="V177" s="30"/>
    </row>
    <row r="178" spans="1:22" ht="15.75" customHeight="1">
      <c r="A178" s="30"/>
      <c r="V178" s="30"/>
    </row>
    <row r="179" spans="1:22" ht="15.75" customHeight="1">
      <c r="A179" s="30"/>
      <c r="V179" s="30"/>
    </row>
    <row r="180" spans="1:22" ht="15.75" customHeight="1">
      <c r="A180" s="30"/>
      <c r="V180" s="30"/>
    </row>
    <row r="181" spans="1:22" ht="15.75" customHeight="1">
      <c r="A181" s="30"/>
      <c r="V181" s="30"/>
    </row>
    <row r="182" spans="1:22" ht="15.75" customHeight="1">
      <c r="A182" s="30"/>
      <c r="V182" s="30"/>
    </row>
    <row r="183" spans="1:22" ht="15.75" customHeight="1">
      <c r="A183" s="30"/>
      <c r="V183" s="30"/>
    </row>
    <row r="184" spans="1:22" ht="15.75" customHeight="1">
      <c r="A184" s="30"/>
      <c r="V184" s="30"/>
    </row>
    <row r="185" spans="1:22" ht="15.75" customHeight="1">
      <c r="A185" s="30"/>
      <c r="V185" s="30"/>
    </row>
    <row r="186" spans="1:22" ht="15.75" customHeight="1">
      <c r="A186" s="30"/>
      <c r="V186" s="30"/>
    </row>
    <row r="187" spans="1:22" ht="15.75" customHeight="1">
      <c r="A187" s="30"/>
      <c r="V187" s="30"/>
    </row>
    <row r="188" spans="1:22" ht="15.75" customHeight="1">
      <c r="A188" s="30"/>
      <c r="V188" s="30"/>
    </row>
    <row r="189" spans="1:22" ht="15.75" customHeight="1">
      <c r="A189" s="30"/>
      <c r="V189" s="30"/>
    </row>
    <row r="190" spans="1:22" ht="15.75" customHeight="1">
      <c r="A190" s="30"/>
      <c r="V190" s="30"/>
    </row>
    <row r="191" spans="1:22" ht="15.75" customHeight="1">
      <c r="A191" s="30"/>
      <c r="V191" s="30"/>
    </row>
    <row r="192" spans="1:22" ht="15.75" customHeight="1">
      <c r="A192" s="30"/>
      <c r="V192" s="30"/>
    </row>
    <row r="193" spans="1:22" ht="15.75" customHeight="1">
      <c r="A193" s="30"/>
      <c r="V193" s="30"/>
    </row>
    <row r="194" spans="1:22" ht="15.75" customHeight="1">
      <c r="A194" s="30"/>
      <c r="V194" s="30"/>
    </row>
    <row r="195" spans="1:22" ht="15.75" customHeight="1">
      <c r="A195" s="30"/>
      <c r="V195" s="30"/>
    </row>
    <row r="196" spans="1:22" ht="15.75" customHeight="1">
      <c r="A196" s="30"/>
      <c r="V196" s="30"/>
    </row>
    <row r="197" spans="1:22" ht="15.75" customHeight="1">
      <c r="A197" s="30"/>
      <c r="V197" s="30"/>
    </row>
    <row r="198" spans="1:22" ht="15.75" customHeight="1">
      <c r="A198" s="30"/>
      <c r="V198" s="30"/>
    </row>
    <row r="199" spans="1:22" ht="15.75" customHeight="1">
      <c r="A199" s="30"/>
      <c r="V199" s="30"/>
    </row>
    <row r="200" spans="1:22" ht="15.75" customHeight="1">
      <c r="A200" s="30"/>
      <c r="V200" s="30"/>
    </row>
    <row r="201" spans="1:22" ht="15.75" customHeight="1">
      <c r="A201" s="30"/>
      <c r="V201" s="30"/>
    </row>
    <row r="202" spans="1:22" ht="15.75" customHeight="1">
      <c r="A202" s="30"/>
      <c r="V202" s="30"/>
    </row>
    <row r="203" spans="1:22" ht="15.75" customHeight="1">
      <c r="A203" s="30"/>
      <c r="V203" s="30"/>
    </row>
    <row r="204" spans="1:22" ht="15.75" customHeight="1">
      <c r="A204" s="30"/>
      <c r="V204" s="30"/>
    </row>
    <row r="205" spans="1:22" ht="15.75" customHeight="1">
      <c r="A205" s="30"/>
      <c r="V205" s="30"/>
    </row>
    <row r="206" spans="1:22" ht="15.75" customHeight="1">
      <c r="A206" s="30"/>
      <c r="V206" s="30"/>
    </row>
    <row r="207" spans="1:22" ht="15.75" customHeight="1">
      <c r="A207" s="30"/>
      <c r="V207" s="30"/>
    </row>
    <row r="208" spans="1:22" ht="15.75" customHeight="1">
      <c r="A208" s="30"/>
      <c r="V208" s="30"/>
    </row>
    <row r="209" spans="1:22" ht="15.75" customHeight="1">
      <c r="A209" s="30"/>
      <c r="V209" s="30"/>
    </row>
    <row r="210" spans="1:22" ht="15.75" customHeight="1">
      <c r="A210" s="30"/>
      <c r="V210" s="30"/>
    </row>
    <row r="211" spans="1:22" ht="15.75" customHeight="1">
      <c r="A211" s="30"/>
      <c r="V211" s="30"/>
    </row>
    <row r="212" spans="1:22" ht="15.75" customHeight="1">
      <c r="A212" s="30"/>
      <c r="V212" s="30"/>
    </row>
    <row r="213" spans="1:22" ht="15.75" customHeight="1">
      <c r="A213" s="30"/>
      <c r="V213" s="30"/>
    </row>
    <row r="214" spans="1:22" ht="15.75" customHeight="1">
      <c r="A214" s="30"/>
      <c r="V214" s="30"/>
    </row>
    <row r="215" spans="1:22" ht="15.75" customHeight="1">
      <c r="A215" s="30"/>
      <c r="V215" s="30"/>
    </row>
    <row r="216" spans="1:22" ht="15.75" customHeight="1">
      <c r="A216" s="30"/>
      <c r="V216" s="30"/>
    </row>
    <row r="217" spans="1:22" ht="15.75" customHeight="1">
      <c r="A217" s="30"/>
      <c r="V217" s="30"/>
    </row>
    <row r="218" spans="1:22" ht="15.75" customHeight="1">
      <c r="A218" s="30"/>
      <c r="V218" s="30"/>
    </row>
    <row r="219" spans="1:22" ht="15.75" customHeight="1">
      <c r="A219" s="30"/>
      <c r="V219" s="30"/>
    </row>
    <row r="220" spans="1:22" ht="15.75" customHeight="1">
      <c r="A220" s="30"/>
      <c r="V220" s="30"/>
    </row>
    <row r="221" spans="1:22" ht="15.75" customHeight="1">
      <c r="A221" s="30"/>
      <c r="V221" s="30"/>
    </row>
    <row r="222" spans="1:22" ht="15.75" customHeight="1">
      <c r="A222" s="30"/>
      <c r="V222" s="30"/>
    </row>
    <row r="223" spans="1:22" ht="15.75" customHeight="1">
      <c r="A223" s="30"/>
      <c r="V223" s="30"/>
    </row>
    <row r="224" spans="1:22" ht="15.75" customHeight="1">
      <c r="A224" s="30"/>
      <c r="V224" s="30"/>
    </row>
    <row r="225" spans="1:36" ht="15.75" customHeight="1">
      <c r="A225" s="30"/>
      <c r="V225" s="30"/>
    </row>
    <row r="226" spans="1:36" ht="15.75" customHeight="1">
      <c r="A226" s="30"/>
      <c r="V226" s="30"/>
    </row>
    <row r="227" spans="1:36" ht="15.75" customHeight="1">
      <c r="A227" s="30"/>
      <c r="V227" s="30"/>
    </row>
    <row r="228" spans="1:36" ht="15.75" customHeight="1">
      <c r="A228" s="30"/>
      <c r="V228" s="30"/>
    </row>
    <row r="229" spans="1:36" ht="15.75" customHeight="1">
      <c r="A229" s="30"/>
      <c r="V229" s="30"/>
    </row>
    <row r="230" spans="1:36" ht="15.75" customHeight="1">
      <c r="A230" s="30"/>
      <c r="V230" s="30"/>
    </row>
    <row r="231" spans="1:36" ht="15.75" customHeight="1">
      <c r="A231" s="30"/>
      <c r="V231" s="30"/>
    </row>
    <row r="232" spans="1:36" ht="15.75" customHeight="1">
      <c r="A232" s="30"/>
      <c r="V232" s="30"/>
    </row>
    <row r="233" spans="1:36" ht="15.75" customHeight="1">
      <c r="A233" s="30"/>
      <c r="V233" s="30"/>
    </row>
    <row r="234" spans="1:36" ht="15.75" customHeight="1">
      <c r="A234" s="30"/>
      <c r="V234" s="30"/>
    </row>
    <row r="235" spans="1:36" ht="15.75" customHeight="1">
      <c r="A235" s="30"/>
      <c r="V235" s="30"/>
    </row>
    <row r="236" spans="1:36" ht="15.75" customHeight="1">
      <c r="A236" s="30"/>
      <c r="V236" s="30"/>
    </row>
    <row r="237" spans="1:36" ht="15.75" customHeight="1">
      <c r="A237" s="30"/>
      <c r="V237" s="30"/>
    </row>
    <row r="238" spans="1:36" ht="15.75" customHeight="1">
      <c r="A238" s="30"/>
      <c r="V238" s="30"/>
    </row>
    <row r="239" spans="1:36" ht="15.75" customHeight="1">
      <c r="A239" s="30"/>
      <c r="V239" s="30"/>
    </row>
    <row r="240" spans="1:36" ht="38.25" customHeight="1">
      <c r="A240" s="30"/>
      <c r="B240" s="153" t="s">
        <v>25</v>
      </c>
      <c r="C240" s="140"/>
      <c r="D240" s="140"/>
      <c r="E240" s="140"/>
      <c r="F240" s="140"/>
      <c r="G240" s="140"/>
      <c r="H240" s="140"/>
      <c r="I240" s="140"/>
      <c r="J240" s="140"/>
      <c r="K240" s="140"/>
      <c r="L240" s="140"/>
      <c r="M240" s="140"/>
      <c r="N240" s="140"/>
      <c r="O240" s="140"/>
      <c r="P240" s="140"/>
      <c r="Q240" s="140"/>
      <c r="R240" s="140"/>
      <c r="S240" s="140"/>
      <c r="T240" s="138"/>
      <c r="U240" s="38"/>
      <c r="V240" s="153" t="s">
        <v>26</v>
      </c>
      <c r="W240" s="140"/>
      <c r="X240" s="140"/>
      <c r="Y240" s="140"/>
      <c r="Z240" s="140"/>
      <c r="AA240" s="140"/>
      <c r="AB240" s="140"/>
      <c r="AC240" s="140"/>
      <c r="AD240" s="140"/>
      <c r="AE240" s="140"/>
      <c r="AF240" s="140"/>
      <c r="AG240" s="140"/>
      <c r="AH240" s="140"/>
      <c r="AI240" s="140"/>
      <c r="AJ240" s="138"/>
    </row>
    <row r="241" spans="1:37" ht="15.75" customHeight="1">
      <c r="A241" s="30"/>
      <c r="V241" s="30"/>
      <c r="W241" s="30"/>
      <c r="X241" s="30"/>
      <c r="Y241" s="30"/>
      <c r="Z241" s="30"/>
      <c r="AA241" s="30"/>
      <c r="AB241" s="30"/>
      <c r="AC241" s="30"/>
      <c r="AD241" s="30"/>
      <c r="AE241" s="30"/>
      <c r="AF241" s="30"/>
      <c r="AG241" s="30"/>
      <c r="AH241" s="30"/>
      <c r="AI241" s="30"/>
      <c r="AJ241" s="30"/>
    </row>
    <row r="242" spans="1:37" ht="81.75" customHeight="1">
      <c r="A242" s="30"/>
      <c r="B242" s="145">
        <f ca="1">Calculations!G130</f>
        <v>0</v>
      </c>
      <c r="C242" s="152"/>
      <c r="D242" s="152"/>
      <c r="E242" s="152"/>
      <c r="F242" s="152"/>
      <c r="G242" s="152"/>
      <c r="H242" s="152"/>
      <c r="I242" s="152"/>
      <c r="J242" s="152"/>
      <c r="K242" s="147"/>
      <c r="N242" s="145">
        <f ca="1">Calculations!G136</f>
        <v>0</v>
      </c>
      <c r="O242" s="152"/>
      <c r="P242" s="152"/>
      <c r="Q242" s="152"/>
      <c r="R242" s="152"/>
      <c r="S242" s="152"/>
      <c r="T242" s="147"/>
      <c r="V242" s="145">
        <f ca="1">Calculations!G131</f>
        <v>0</v>
      </c>
      <c r="W242" s="152"/>
      <c r="X242" s="152"/>
      <c r="Y242" s="152"/>
      <c r="Z242" s="152"/>
      <c r="AA242" s="152"/>
      <c r="AB242" s="147"/>
      <c r="AD242" s="145">
        <f ca="1">Calculations!G137</f>
        <v>0</v>
      </c>
      <c r="AE242" s="152"/>
      <c r="AF242" s="152"/>
      <c r="AG242" s="152"/>
      <c r="AH242" s="152"/>
      <c r="AI242" s="152"/>
      <c r="AJ242" s="146"/>
      <c r="AK242" s="35"/>
    </row>
    <row r="243" spans="1:37" ht="36.75" customHeight="1">
      <c r="A243" s="30"/>
      <c r="B243" s="154" t="s">
        <v>23</v>
      </c>
      <c r="C243" s="155"/>
      <c r="D243" s="155"/>
      <c r="E243" s="155"/>
      <c r="F243" s="155"/>
      <c r="G243" s="155"/>
      <c r="H243" s="155"/>
      <c r="I243" s="155"/>
      <c r="J243" s="155"/>
      <c r="K243" s="156"/>
      <c r="M243" s="44"/>
      <c r="N243" s="154" t="s">
        <v>24</v>
      </c>
      <c r="O243" s="155"/>
      <c r="P243" s="155"/>
      <c r="Q243" s="155"/>
      <c r="R243" s="155"/>
      <c r="S243" s="155"/>
      <c r="T243" s="157"/>
      <c r="V243" s="154" t="s">
        <v>23</v>
      </c>
      <c r="W243" s="155"/>
      <c r="X243" s="155"/>
      <c r="Y243" s="155"/>
      <c r="Z243" s="155"/>
      <c r="AA243" s="155"/>
      <c r="AB243" s="157"/>
      <c r="AC243" s="35"/>
      <c r="AD243" s="154" t="s">
        <v>24</v>
      </c>
      <c r="AE243" s="155"/>
      <c r="AF243" s="155"/>
      <c r="AG243" s="155"/>
      <c r="AH243" s="155"/>
      <c r="AI243" s="155"/>
      <c r="AJ243" s="156"/>
      <c r="AK243" s="35"/>
    </row>
    <row r="244" spans="1:37" ht="15.75" customHeight="1">
      <c r="A244" s="30"/>
      <c r="V244" s="30"/>
    </row>
    <row r="245" spans="1:37" ht="15.75" customHeight="1">
      <c r="A245" s="30"/>
      <c r="V245" s="30"/>
    </row>
    <row r="246" spans="1:37" ht="15.75" customHeight="1">
      <c r="A246" s="30"/>
      <c r="V246" s="30"/>
    </row>
    <row r="247" spans="1:37" ht="15.75" customHeight="1">
      <c r="A247" s="30"/>
      <c r="V247" s="30"/>
    </row>
    <row r="248" spans="1:37" ht="15.75" customHeight="1">
      <c r="A248" s="30"/>
      <c r="V248" s="30"/>
    </row>
    <row r="249" spans="1:37" ht="15.75" customHeight="1">
      <c r="A249" s="30"/>
      <c r="V249" s="30"/>
    </row>
    <row r="250" spans="1:37" ht="15.75" customHeight="1">
      <c r="A250" s="30"/>
      <c r="V250" s="30"/>
    </row>
    <row r="251" spans="1:37" ht="15.75" customHeight="1">
      <c r="A251" s="30"/>
      <c r="V251" s="30"/>
    </row>
    <row r="252" spans="1:37" ht="15.75" customHeight="1">
      <c r="A252" s="30"/>
      <c r="V252" s="30"/>
    </row>
    <row r="253" spans="1:37" ht="15.75" customHeight="1">
      <c r="A253" s="30"/>
      <c r="V253" s="30"/>
    </row>
    <row r="254" spans="1:37" ht="15.75" customHeight="1">
      <c r="A254" s="30"/>
      <c r="V254" s="30"/>
    </row>
    <row r="255" spans="1:37" ht="15.75" customHeight="1">
      <c r="A255" s="30"/>
      <c r="V255" s="30"/>
    </row>
    <row r="256" spans="1:37" ht="15.75" customHeight="1">
      <c r="A256" s="30"/>
      <c r="V256" s="30"/>
    </row>
    <row r="257" spans="1:22" ht="15.75" customHeight="1">
      <c r="A257" s="30"/>
      <c r="V257" s="30"/>
    </row>
    <row r="258" spans="1:22" ht="15.75" customHeight="1">
      <c r="A258" s="30"/>
      <c r="V258" s="30"/>
    </row>
    <row r="259" spans="1:22" ht="15.75" customHeight="1">
      <c r="A259" s="30"/>
      <c r="V259" s="30"/>
    </row>
    <row r="260" spans="1:22" ht="15.75" customHeight="1">
      <c r="A260" s="30"/>
      <c r="V260" s="30"/>
    </row>
    <row r="261" spans="1:22" ht="15.75" customHeight="1">
      <c r="A261" s="30"/>
      <c r="V261" s="30"/>
    </row>
    <row r="262" spans="1:22" ht="15.75" customHeight="1">
      <c r="A262" s="30"/>
      <c r="V262" s="30"/>
    </row>
    <row r="263" spans="1:22" ht="15.75" customHeight="1">
      <c r="A263" s="30"/>
      <c r="V263" s="30"/>
    </row>
    <row r="264" spans="1:22" ht="15.75" customHeight="1">
      <c r="A264" s="30"/>
      <c r="V264" s="30"/>
    </row>
    <row r="265" spans="1:22" ht="15.75" customHeight="1">
      <c r="A265" s="30"/>
      <c r="V265" s="30"/>
    </row>
    <row r="266" spans="1:22" ht="15.75" customHeight="1">
      <c r="A266" s="30"/>
      <c r="V266" s="30"/>
    </row>
    <row r="267" spans="1:22" ht="15.75" customHeight="1">
      <c r="A267" s="30"/>
      <c r="V267" s="30"/>
    </row>
    <row r="268" spans="1:22" ht="15.75" customHeight="1">
      <c r="A268" s="30"/>
      <c r="V268" s="30"/>
    </row>
    <row r="269" spans="1:22" ht="15.75" customHeight="1">
      <c r="A269" s="30"/>
      <c r="V269" s="30"/>
    </row>
    <row r="270" spans="1:22" ht="15.75" customHeight="1">
      <c r="A270" s="30"/>
      <c r="V270" s="30"/>
    </row>
    <row r="271" spans="1:22" ht="15.75" customHeight="1">
      <c r="A271" s="30"/>
      <c r="V271" s="30"/>
    </row>
    <row r="272" spans="1:22" ht="15.75" customHeight="1">
      <c r="A272" s="30"/>
      <c r="V272" s="30"/>
    </row>
    <row r="273" spans="1:22" ht="15.75" customHeight="1">
      <c r="A273" s="30"/>
      <c r="V273" s="30"/>
    </row>
    <row r="274" spans="1:22" ht="15.75" customHeight="1">
      <c r="A274" s="30"/>
      <c r="V274" s="30"/>
    </row>
    <row r="275" spans="1:22" ht="15.75" customHeight="1">
      <c r="A275" s="30"/>
      <c r="V275" s="30"/>
    </row>
    <row r="276" spans="1:22" ht="15.75" customHeight="1">
      <c r="A276" s="30"/>
      <c r="V276" s="30"/>
    </row>
    <row r="277" spans="1:22" ht="15.75" customHeight="1">
      <c r="A277" s="30"/>
      <c r="V277" s="30"/>
    </row>
    <row r="278" spans="1:22" ht="15.75" customHeight="1">
      <c r="A278" s="30"/>
      <c r="V278" s="30"/>
    </row>
    <row r="279" spans="1:22" ht="15.75" customHeight="1">
      <c r="A279" s="30"/>
      <c r="V279" s="30"/>
    </row>
    <row r="280" spans="1:22" ht="15.75" customHeight="1">
      <c r="A280" s="30"/>
      <c r="V280" s="30"/>
    </row>
    <row r="281" spans="1:22" ht="15.75" customHeight="1">
      <c r="A281" s="30"/>
      <c r="V281" s="30"/>
    </row>
    <row r="282" spans="1:22" ht="15.75" customHeight="1">
      <c r="A282" s="30"/>
      <c r="V282" s="30"/>
    </row>
    <row r="283" spans="1:22" ht="15.75" customHeight="1">
      <c r="A283" s="30"/>
      <c r="V283" s="30"/>
    </row>
    <row r="284" spans="1:22" ht="15.75" customHeight="1">
      <c r="A284" s="30"/>
      <c r="V284" s="30"/>
    </row>
    <row r="285" spans="1:22" ht="15.75" customHeight="1">
      <c r="A285" s="30"/>
      <c r="V285" s="30"/>
    </row>
    <row r="286" spans="1:22" ht="15.75" customHeight="1">
      <c r="A286" s="30"/>
      <c r="V286" s="30"/>
    </row>
    <row r="287" spans="1:22" ht="15.75" customHeight="1">
      <c r="A287" s="30"/>
      <c r="V287" s="30"/>
    </row>
    <row r="288" spans="1:22" ht="15.75" customHeight="1">
      <c r="A288" s="30"/>
      <c r="V288" s="30"/>
    </row>
    <row r="289" spans="1:22" ht="15.75" customHeight="1">
      <c r="A289" s="30"/>
      <c r="V289" s="30"/>
    </row>
    <row r="290" spans="1:22" ht="15.75" customHeight="1">
      <c r="A290" s="30"/>
      <c r="V290" s="30"/>
    </row>
    <row r="291" spans="1:22" ht="15.75" customHeight="1">
      <c r="A291" s="30"/>
      <c r="V291" s="30"/>
    </row>
    <row r="292" spans="1:22" ht="15.75" customHeight="1">
      <c r="A292" s="30"/>
      <c r="V292" s="30"/>
    </row>
    <row r="293" spans="1:22" ht="15.75" customHeight="1">
      <c r="A293" s="30"/>
      <c r="V293" s="30"/>
    </row>
    <row r="294" spans="1:22" ht="15.75" customHeight="1">
      <c r="A294" s="30"/>
      <c r="V294" s="30"/>
    </row>
    <row r="295" spans="1:22" ht="15.75" customHeight="1">
      <c r="A295" s="30"/>
      <c r="V295" s="30"/>
    </row>
    <row r="296" spans="1:22" ht="15.75" customHeight="1">
      <c r="A296" s="30"/>
      <c r="V296" s="30"/>
    </row>
    <row r="297" spans="1:22" ht="15.75" customHeight="1">
      <c r="A297" s="30"/>
      <c r="V297" s="30"/>
    </row>
    <row r="298" spans="1:22" ht="15.75" customHeight="1">
      <c r="A298" s="30"/>
      <c r="V298" s="30"/>
    </row>
    <row r="299" spans="1:22" ht="15.75" customHeight="1">
      <c r="A299" s="30"/>
      <c r="V299" s="30"/>
    </row>
    <row r="300" spans="1:22" ht="15.75" customHeight="1">
      <c r="A300" s="30"/>
      <c r="V300" s="30"/>
    </row>
    <row r="301" spans="1:22" ht="15.75" customHeight="1">
      <c r="A301" s="30"/>
      <c r="V301" s="30"/>
    </row>
    <row r="302" spans="1:22" ht="15.75" customHeight="1">
      <c r="A302" s="30"/>
      <c r="V302" s="30"/>
    </row>
    <row r="303" spans="1:22" ht="15.75" customHeight="1">
      <c r="A303" s="30"/>
      <c r="V303" s="30"/>
    </row>
    <row r="304" spans="1:22" ht="15.75" customHeight="1">
      <c r="A304" s="30"/>
      <c r="V304" s="30"/>
    </row>
    <row r="305" spans="1:22" ht="15.75" customHeight="1">
      <c r="A305" s="30"/>
      <c r="V305" s="30"/>
    </row>
    <row r="306" spans="1:22" ht="15.75" customHeight="1">
      <c r="A306" s="30"/>
      <c r="V306" s="30"/>
    </row>
    <row r="307" spans="1:22" ht="15.75" customHeight="1">
      <c r="A307" s="30"/>
      <c r="V307" s="30"/>
    </row>
    <row r="308" spans="1:22" ht="15.75" customHeight="1">
      <c r="A308" s="30"/>
      <c r="V308" s="30"/>
    </row>
    <row r="309" spans="1:22" ht="15.75" customHeight="1">
      <c r="A309" s="30"/>
      <c r="V309" s="30"/>
    </row>
    <row r="310" spans="1:22" ht="15.75" customHeight="1">
      <c r="A310" s="30"/>
      <c r="V310" s="30"/>
    </row>
    <row r="311" spans="1:22" ht="15.75" customHeight="1">
      <c r="A311" s="30"/>
      <c r="V311" s="30"/>
    </row>
    <row r="312" spans="1:22" ht="15.75" customHeight="1">
      <c r="A312" s="30"/>
      <c r="V312" s="30"/>
    </row>
    <row r="313" spans="1:22" ht="15.75" customHeight="1">
      <c r="A313" s="30"/>
      <c r="V313" s="30"/>
    </row>
    <row r="314" spans="1:22" ht="15.75" customHeight="1">
      <c r="A314" s="30"/>
      <c r="V314" s="30"/>
    </row>
    <row r="315" spans="1:22" ht="15.75" customHeight="1">
      <c r="A315" s="30"/>
      <c r="V315" s="30"/>
    </row>
    <row r="316" spans="1:22" ht="15.75" customHeight="1">
      <c r="A316" s="30"/>
      <c r="V316" s="30"/>
    </row>
    <row r="317" spans="1:22" ht="15.75" customHeight="1">
      <c r="V317" s="30"/>
    </row>
    <row r="318" spans="1:22" ht="15.75" customHeight="1">
      <c r="A318" s="30"/>
      <c r="V318" s="30"/>
    </row>
    <row r="319" spans="1:22" ht="15.75" customHeight="1">
      <c r="A319" s="30"/>
      <c r="V319" s="30"/>
    </row>
    <row r="320" spans="1:22" ht="15.75" customHeight="1">
      <c r="A320" s="30"/>
      <c r="V320" s="30"/>
    </row>
    <row r="321" spans="1:22" ht="15.75" customHeight="1">
      <c r="A321" s="30"/>
      <c r="V321" s="30"/>
    </row>
    <row r="322" spans="1:22" ht="15.75" customHeight="1">
      <c r="A322" s="30"/>
      <c r="V322" s="30"/>
    </row>
    <row r="323" spans="1:22" ht="15.75" customHeight="1">
      <c r="A323" s="30"/>
      <c r="V323" s="30"/>
    </row>
    <row r="324" spans="1:22" ht="15.75" customHeight="1">
      <c r="A324" s="30"/>
      <c r="V324" s="30"/>
    </row>
    <row r="325" spans="1:22" ht="15.75" customHeight="1">
      <c r="A325" s="30"/>
      <c r="V325" s="30"/>
    </row>
    <row r="326" spans="1:22" ht="15.75" customHeight="1">
      <c r="A326" s="30"/>
      <c r="V326" s="30"/>
    </row>
    <row r="327" spans="1:22" ht="15.75" customHeight="1">
      <c r="A327" s="30"/>
      <c r="V327" s="30"/>
    </row>
    <row r="328" spans="1:22" ht="15.75" customHeight="1">
      <c r="A328" s="30"/>
      <c r="V328" s="30"/>
    </row>
    <row r="329" spans="1:22" ht="15.75" customHeight="1">
      <c r="A329" s="30"/>
      <c r="V329" s="30"/>
    </row>
    <row r="330" spans="1:22" ht="15.75" customHeight="1">
      <c r="A330" s="30"/>
      <c r="V330" s="30"/>
    </row>
    <row r="331" spans="1:22" ht="15.75" customHeight="1">
      <c r="A331" s="30"/>
      <c r="V331" s="30"/>
    </row>
    <row r="332" spans="1:22" ht="15.75" customHeight="1">
      <c r="A332" s="30"/>
      <c r="V332" s="30"/>
    </row>
    <row r="333" spans="1:22" ht="15.75" customHeight="1">
      <c r="A333" s="30"/>
      <c r="V333" s="30"/>
    </row>
    <row r="334" spans="1:22" ht="15.75" customHeight="1">
      <c r="A334" s="30"/>
      <c r="V334" s="30"/>
    </row>
    <row r="335" spans="1:22" ht="15.75" customHeight="1">
      <c r="A335" s="30"/>
      <c r="V335" s="30"/>
    </row>
    <row r="336" spans="1:22" ht="15.75" customHeight="1">
      <c r="A336" s="30"/>
      <c r="V336" s="30"/>
    </row>
    <row r="337" spans="1:22" ht="15.75" customHeight="1">
      <c r="A337" s="30"/>
      <c r="V337" s="30"/>
    </row>
    <row r="338" spans="1:22" ht="15.75" customHeight="1">
      <c r="A338" s="30"/>
      <c r="V338" s="30"/>
    </row>
    <row r="339" spans="1:22" ht="15.75" customHeight="1">
      <c r="A339" s="30"/>
      <c r="V339" s="30"/>
    </row>
    <row r="340" spans="1:22" ht="15.75" customHeight="1">
      <c r="A340" s="30"/>
      <c r="V340" s="30"/>
    </row>
    <row r="341" spans="1:22" ht="15.75" customHeight="1">
      <c r="A341" s="30"/>
      <c r="V341" s="30"/>
    </row>
    <row r="342" spans="1:22" ht="15.75" customHeight="1">
      <c r="A342" s="30"/>
      <c r="V342" s="30"/>
    </row>
    <row r="343" spans="1:22" ht="15.75" customHeight="1">
      <c r="A343" s="30"/>
      <c r="V343" s="30"/>
    </row>
    <row r="344" spans="1:22" ht="15.75" customHeight="1">
      <c r="A344" s="30"/>
      <c r="V344" s="30"/>
    </row>
    <row r="345" spans="1:22" ht="15.75" customHeight="1">
      <c r="A345" s="30"/>
      <c r="V345" s="30"/>
    </row>
    <row r="346" spans="1:22" ht="15.75" customHeight="1">
      <c r="A346" s="30"/>
      <c r="V346" s="30"/>
    </row>
    <row r="347" spans="1:22" ht="15.75" customHeight="1">
      <c r="A347" s="30"/>
      <c r="V347" s="30"/>
    </row>
    <row r="348" spans="1:22" ht="15.75" customHeight="1">
      <c r="A348" s="30"/>
      <c r="V348" s="30"/>
    </row>
    <row r="349" spans="1:22" ht="15.75" customHeight="1">
      <c r="A349" s="30"/>
      <c r="V349" s="30"/>
    </row>
    <row r="350" spans="1:22" ht="15.75" customHeight="1">
      <c r="A350" s="30"/>
      <c r="V350" s="30"/>
    </row>
    <row r="351" spans="1:22" ht="15.75" customHeight="1">
      <c r="A351" s="30"/>
      <c r="V351" s="30"/>
    </row>
    <row r="352" spans="1:22" ht="15.75" customHeight="1">
      <c r="A352" s="30"/>
      <c r="V352" s="30"/>
    </row>
    <row r="353" spans="1:22" ht="15.75" customHeight="1">
      <c r="A353" s="30"/>
      <c r="V353" s="30"/>
    </row>
    <row r="354" spans="1:22" ht="15.75" customHeight="1">
      <c r="A354" s="30"/>
      <c r="V354" s="30"/>
    </row>
    <row r="355" spans="1:22" ht="15.75" customHeight="1">
      <c r="A355" s="30"/>
      <c r="V355" s="30"/>
    </row>
    <row r="356" spans="1:22" ht="15.75" customHeight="1">
      <c r="A356" s="30"/>
      <c r="V356" s="30"/>
    </row>
    <row r="357" spans="1:22" ht="15.75" customHeight="1">
      <c r="A357" s="30"/>
      <c r="V357" s="30"/>
    </row>
    <row r="358" spans="1:22" ht="15.75" customHeight="1">
      <c r="A358" s="30"/>
      <c r="V358" s="30"/>
    </row>
    <row r="359" spans="1:22" ht="15.75" customHeight="1">
      <c r="A359" s="30"/>
      <c r="V359" s="30"/>
    </row>
    <row r="360" spans="1:22" ht="15.75" customHeight="1">
      <c r="A360" s="30"/>
      <c r="V360" s="30"/>
    </row>
    <row r="361" spans="1:22" ht="15.75" customHeight="1">
      <c r="A361" s="30"/>
      <c r="V361" s="30"/>
    </row>
    <row r="362" spans="1:22" ht="15.75" customHeight="1">
      <c r="A362" s="30"/>
      <c r="V362" s="30"/>
    </row>
    <row r="363" spans="1:22" ht="15.75" customHeight="1">
      <c r="A363" s="30"/>
      <c r="V363" s="30"/>
    </row>
    <row r="364" spans="1:22" ht="15.75" customHeight="1">
      <c r="A364" s="30"/>
      <c r="V364" s="30"/>
    </row>
    <row r="365" spans="1:22" ht="15.75" customHeight="1">
      <c r="A365" s="30"/>
      <c r="V365" s="30"/>
    </row>
    <row r="366" spans="1:22" ht="15.75" customHeight="1">
      <c r="A366" s="30"/>
      <c r="V366" s="30"/>
    </row>
    <row r="367" spans="1:22" ht="15.75" customHeight="1">
      <c r="A367" s="30"/>
      <c r="V367" s="30"/>
    </row>
    <row r="368" spans="1:22" ht="15.75" customHeight="1">
      <c r="A368" s="30"/>
      <c r="V368" s="30"/>
    </row>
    <row r="369" spans="1:22" ht="15.75" customHeight="1">
      <c r="A369" s="30"/>
      <c r="V369" s="30"/>
    </row>
    <row r="370" spans="1:22" ht="15.75" customHeight="1">
      <c r="A370" s="30"/>
      <c r="V370" s="30"/>
    </row>
    <row r="371" spans="1:22" ht="15.75" customHeight="1">
      <c r="A371" s="30"/>
      <c r="V371" s="30"/>
    </row>
    <row r="372" spans="1:22" ht="15.75" customHeight="1">
      <c r="A372" s="30"/>
      <c r="V372" s="30"/>
    </row>
    <row r="373" spans="1:22" ht="15.75" customHeight="1">
      <c r="A373" s="30"/>
      <c r="V373" s="30"/>
    </row>
    <row r="374" spans="1:22" ht="15.75" customHeight="1">
      <c r="A374" s="30"/>
      <c r="V374" s="30"/>
    </row>
    <row r="375" spans="1:22" ht="15.75" customHeight="1">
      <c r="A375" s="30"/>
      <c r="V375" s="30"/>
    </row>
    <row r="376" spans="1:22" ht="15.75" customHeight="1">
      <c r="A376" s="30"/>
      <c r="V376" s="30"/>
    </row>
    <row r="377" spans="1:22" ht="15.75" customHeight="1">
      <c r="A377" s="30"/>
      <c r="V377" s="30"/>
    </row>
    <row r="378" spans="1:22" ht="15.75" customHeight="1">
      <c r="A378" s="30"/>
      <c r="V378" s="30"/>
    </row>
    <row r="379" spans="1:22" ht="15.75" customHeight="1">
      <c r="A379" s="30"/>
      <c r="V379" s="30"/>
    </row>
    <row r="380" spans="1:22" ht="15.75" customHeight="1">
      <c r="A380" s="30"/>
      <c r="V380" s="30"/>
    </row>
    <row r="381" spans="1:22" ht="15.75" customHeight="1">
      <c r="A381" s="30"/>
      <c r="V381" s="30"/>
    </row>
    <row r="382" spans="1:22" ht="15.75" customHeight="1">
      <c r="A382" s="30"/>
      <c r="V382" s="30"/>
    </row>
    <row r="383" spans="1:22" ht="15.75" customHeight="1">
      <c r="A383" s="30"/>
      <c r="V383" s="30"/>
    </row>
    <row r="384" spans="1:22" ht="15.75" customHeight="1">
      <c r="A384" s="30"/>
      <c r="V384" s="30"/>
    </row>
    <row r="385" spans="1:22" ht="15.75" customHeight="1">
      <c r="A385" s="30"/>
      <c r="V385" s="30"/>
    </row>
    <row r="386" spans="1:22" ht="15.75" customHeight="1">
      <c r="A386" s="30"/>
      <c r="V386" s="30"/>
    </row>
    <row r="387" spans="1:22" ht="15.75" customHeight="1">
      <c r="A387" s="30"/>
      <c r="V387" s="30"/>
    </row>
    <row r="388" spans="1:22" ht="15.75" customHeight="1">
      <c r="A388" s="30"/>
      <c r="V388" s="30"/>
    </row>
    <row r="389" spans="1:22" ht="15.75" customHeight="1">
      <c r="A389" s="30"/>
      <c r="V389" s="30"/>
    </row>
    <row r="390" spans="1:22" ht="15.75" customHeight="1">
      <c r="A390" s="30"/>
      <c r="V390" s="30"/>
    </row>
    <row r="391" spans="1:22" ht="15.75" customHeight="1">
      <c r="A391" s="30"/>
      <c r="V391" s="30"/>
    </row>
    <row r="392" spans="1:22" ht="15.75" customHeight="1">
      <c r="A392" s="30"/>
      <c r="V392" s="30"/>
    </row>
    <row r="393" spans="1:22" ht="15.75" customHeight="1">
      <c r="A393" s="30"/>
      <c r="V393" s="30"/>
    </row>
    <row r="394" spans="1:22" ht="15.75" customHeight="1">
      <c r="A394" s="30"/>
      <c r="V394" s="30"/>
    </row>
    <row r="395" spans="1:22" ht="15.75" customHeight="1">
      <c r="A395" s="30"/>
      <c r="V395" s="30"/>
    </row>
    <row r="396" spans="1:22" ht="15.75" customHeight="1">
      <c r="A396" s="30"/>
      <c r="V396" s="30"/>
    </row>
    <row r="397" spans="1:22" ht="15.75" customHeight="1">
      <c r="A397" s="30"/>
      <c r="V397" s="30"/>
    </row>
    <row r="398" spans="1:22" ht="15.75" customHeight="1">
      <c r="A398" s="30"/>
      <c r="V398" s="30"/>
    </row>
    <row r="399" spans="1:22" ht="15.75" customHeight="1">
      <c r="A399" s="30"/>
      <c r="V399" s="30"/>
    </row>
    <row r="400" spans="1:22" ht="15.75" customHeight="1">
      <c r="A400" s="30"/>
      <c r="V400" s="30"/>
    </row>
    <row r="401" spans="1:22" ht="15.75" customHeight="1">
      <c r="A401" s="30"/>
      <c r="V401" s="30"/>
    </row>
    <row r="402" spans="1:22" ht="15.75" customHeight="1">
      <c r="A402" s="30"/>
      <c r="V402" s="30"/>
    </row>
    <row r="403" spans="1:22" ht="15.75" customHeight="1">
      <c r="A403" s="30"/>
      <c r="V403" s="30"/>
    </row>
    <row r="404" spans="1:22" ht="15.75" customHeight="1">
      <c r="A404" s="30"/>
      <c r="V404" s="30"/>
    </row>
    <row r="405" spans="1:22" ht="15.75" customHeight="1">
      <c r="A405" s="30"/>
      <c r="V405" s="30"/>
    </row>
    <row r="406" spans="1:22" ht="15.75" customHeight="1">
      <c r="A406" s="30"/>
      <c r="V406" s="30"/>
    </row>
    <row r="407" spans="1:22" ht="15.75" customHeight="1">
      <c r="A407" s="30"/>
      <c r="V407" s="45"/>
    </row>
    <row r="408" spans="1:22" ht="15.75" customHeight="1">
      <c r="A408" s="30"/>
      <c r="V408" s="30"/>
    </row>
    <row r="409" spans="1:22" ht="15.75" customHeight="1">
      <c r="A409" s="30"/>
      <c r="V409" s="30"/>
    </row>
    <row r="410" spans="1:22" ht="15.75" customHeight="1">
      <c r="A410" s="30"/>
      <c r="V410" s="30"/>
    </row>
    <row r="411" spans="1:22" ht="15.75" customHeight="1">
      <c r="A411" s="30"/>
      <c r="V411" s="30"/>
    </row>
    <row r="412" spans="1:22" ht="15.75" customHeight="1">
      <c r="A412" s="30"/>
      <c r="V412" s="30"/>
    </row>
    <row r="413" spans="1:22" ht="15.75" customHeight="1">
      <c r="A413" s="30"/>
      <c r="V413" s="30"/>
    </row>
    <row r="414" spans="1:22" ht="15.75" customHeight="1">
      <c r="A414" s="30"/>
      <c r="V414" s="30"/>
    </row>
    <row r="415" spans="1:22" ht="15.75" customHeight="1">
      <c r="A415" s="30"/>
      <c r="V415" s="30"/>
    </row>
    <row r="416" spans="1:22" ht="15.75" customHeight="1">
      <c r="A416" s="30"/>
      <c r="V416" s="30"/>
    </row>
    <row r="417" spans="1:22" ht="15.75" customHeight="1">
      <c r="A417" s="30"/>
      <c r="V417" s="30"/>
    </row>
    <row r="418" spans="1:22" ht="15.75" customHeight="1">
      <c r="A418" s="30"/>
      <c r="V418" s="30"/>
    </row>
    <row r="419" spans="1:22" ht="15.75" customHeight="1">
      <c r="A419" s="30"/>
      <c r="V419" s="30"/>
    </row>
    <row r="420" spans="1:22" ht="15.75" customHeight="1">
      <c r="A420" s="30"/>
      <c r="V420" s="30"/>
    </row>
    <row r="421" spans="1:22" ht="15.75" customHeight="1">
      <c r="A421" s="30"/>
      <c r="V421" s="30"/>
    </row>
    <row r="422" spans="1:22" ht="15.75" customHeight="1">
      <c r="A422" s="30"/>
      <c r="V422" s="30"/>
    </row>
    <row r="423" spans="1:22" ht="15.75" customHeight="1">
      <c r="A423" s="30"/>
      <c r="V423" s="30"/>
    </row>
    <row r="424" spans="1:22" ht="15.75" customHeight="1">
      <c r="A424" s="30"/>
      <c r="V424" s="30"/>
    </row>
    <row r="425" spans="1:22" ht="15.75" customHeight="1">
      <c r="A425" s="30"/>
      <c r="V425" s="30"/>
    </row>
    <row r="426" spans="1:22" ht="15.75" customHeight="1">
      <c r="A426" s="30"/>
      <c r="V426" s="30"/>
    </row>
    <row r="427" spans="1:22" ht="15.75" customHeight="1">
      <c r="A427" s="30"/>
      <c r="V427" s="30"/>
    </row>
    <row r="428" spans="1:22" ht="15.75" customHeight="1">
      <c r="A428" s="30"/>
      <c r="V428" s="30"/>
    </row>
    <row r="429" spans="1:22" ht="15.75" customHeight="1">
      <c r="A429" s="30"/>
      <c r="V429" s="30"/>
    </row>
    <row r="430" spans="1:22" ht="15.75" customHeight="1">
      <c r="A430" s="30"/>
      <c r="V430" s="30"/>
    </row>
    <row r="431" spans="1:22" ht="15.75" customHeight="1">
      <c r="A431" s="30"/>
      <c r="V431" s="30"/>
    </row>
    <row r="432" spans="1:22" ht="15.75" customHeight="1">
      <c r="A432" s="30"/>
      <c r="V432" s="30"/>
    </row>
    <row r="433" spans="1:22" ht="15.75" customHeight="1">
      <c r="A433" s="30"/>
      <c r="V433" s="30"/>
    </row>
    <row r="434" spans="1:22" ht="15.75" customHeight="1">
      <c r="A434" s="30"/>
      <c r="V434" s="30"/>
    </row>
    <row r="435" spans="1:22" ht="15.75" customHeight="1">
      <c r="A435" s="30"/>
      <c r="V435" s="30"/>
    </row>
    <row r="436" spans="1:22" ht="15.75" customHeight="1">
      <c r="A436" s="30"/>
      <c r="V436" s="30"/>
    </row>
    <row r="437" spans="1:22" ht="15.75" customHeight="1">
      <c r="A437" s="30"/>
      <c r="V437" s="30"/>
    </row>
    <row r="438" spans="1:22" ht="15.75" customHeight="1">
      <c r="A438" s="30"/>
      <c r="V438" s="30"/>
    </row>
    <row r="439" spans="1:22" ht="15.75" customHeight="1">
      <c r="A439" s="30"/>
      <c r="V439" s="30"/>
    </row>
    <row r="440" spans="1:22" ht="15.75" customHeight="1">
      <c r="A440" s="30"/>
      <c r="V440" s="30"/>
    </row>
    <row r="441" spans="1:22" ht="15.75" customHeight="1">
      <c r="A441" s="30"/>
      <c r="V441" s="30"/>
    </row>
    <row r="442" spans="1:22" ht="15.75" customHeight="1">
      <c r="A442" s="30"/>
      <c r="V442" s="30"/>
    </row>
    <row r="443" spans="1:22" ht="15.75" customHeight="1">
      <c r="A443" s="30"/>
      <c r="V443" s="30"/>
    </row>
    <row r="444" spans="1:22" ht="15.75" customHeight="1">
      <c r="A444" s="30"/>
      <c r="V444" s="30"/>
    </row>
    <row r="445" spans="1:22" ht="15.75" customHeight="1">
      <c r="A445" s="30"/>
      <c r="V445" s="30"/>
    </row>
    <row r="446" spans="1:22" ht="15.75" customHeight="1">
      <c r="A446" s="30"/>
      <c r="V446" s="30"/>
    </row>
    <row r="447" spans="1:22" ht="15.75" customHeight="1">
      <c r="A447" s="30"/>
      <c r="V447" s="30"/>
    </row>
    <row r="448" spans="1:22" ht="15.75" customHeight="1">
      <c r="A448" s="30"/>
      <c r="V448" s="30"/>
    </row>
    <row r="449" spans="1:22" ht="15.75" customHeight="1">
      <c r="A449" s="30"/>
      <c r="V449" s="30"/>
    </row>
    <row r="450" spans="1:22" ht="15.75" customHeight="1">
      <c r="A450" s="30"/>
      <c r="V450" s="30"/>
    </row>
    <row r="451" spans="1:22" ht="15.75" customHeight="1">
      <c r="A451" s="30"/>
      <c r="V451" s="30"/>
    </row>
    <row r="452" spans="1:22" ht="15.75" customHeight="1">
      <c r="A452" s="30"/>
      <c r="V452" s="30"/>
    </row>
    <row r="453" spans="1:22" ht="15.75" customHeight="1">
      <c r="A453" s="30"/>
      <c r="V453" s="30"/>
    </row>
    <row r="454" spans="1:22" ht="15.75" customHeight="1">
      <c r="A454" s="30"/>
      <c r="V454" s="30"/>
    </row>
    <row r="455" spans="1:22" ht="15.75" customHeight="1">
      <c r="A455" s="30"/>
      <c r="V455" s="30"/>
    </row>
    <row r="456" spans="1:22" ht="15.75" customHeight="1">
      <c r="A456" s="30"/>
      <c r="V456" s="30"/>
    </row>
    <row r="457" spans="1:22" ht="15.75" customHeight="1">
      <c r="A457" s="30"/>
      <c r="V457" s="30"/>
    </row>
    <row r="458" spans="1:22" ht="15.75" customHeight="1">
      <c r="A458" s="30"/>
      <c r="V458" s="30"/>
    </row>
    <row r="459" spans="1:22" ht="15.75" customHeight="1">
      <c r="A459" s="30"/>
      <c r="V459" s="30"/>
    </row>
    <row r="460" spans="1:22" ht="15.75" customHeight="1">
      <c r="A460" s="30"/>
      <c r="V460" s="30"/>
    </row>
    <row r="461" spans="1:22" ht="15.75" customHeight="1">
      <c r="A461" s="30"/>
      <c r="V461" s="30"/>
    </row>
    <row r="462" spans="1:22" ht="15.75" customHeight="1">
      <c r="A462" s="30"/>
      <c r="V462" s="30"/>
    </row>
    <row r="463" spans="1:22" ht="15.75" customHeight="1">
      <c r="A463" s="30"/>
      <c r="V463" s="30"/>
    </row>
    <row r="464" spans="1:22" ht="15.75" customHeight="1">
      <c r="A464" s="30"/>
      <c r="V464" s="30"/>
    </row>
    <row r="465" spans="1:22" ht="15.75" customHeight="1">
      <c r="A465" s="30"/>
      <c r="V465" s="30"/>
    </row>
    <row r="466" spans="1:22" ht="15.75" customHeight="1">
      <c r="A466" s="30"/>
      <c r="V466" s="30"/>
    </row>
    <row r="467" spans="1:22" ht="15.75" customHeight="1">
      <c r="A467" s="30"/>
      <c r="V467" s="30"/>
    </row>
    <row r="468" spans="1:22" ht="15.75" customHeight="1">
      <c r="A468" s="30"/>
      <c r="V468" s="30"/>
    </row>
    <row r="469" spans="1:22" ht="15.75" customHeight="1">
      <c r="A469" s="30"/>
      <c r="V469" s="30"/>
    </row>
    <row r="470" spans="1:22" ht="15.75" customHeight="1">
      <c r="A470" s="30"/>
      <c r="V470" s="30"/>
    </row>
    <row r="471" spans="1:22" ht="15.75" customHeight="1">
      <c r="A471" s="30"/>
      <c r="V471" s="30"/>
    </row>
    <row r="472" spans="1:22" ht="15.75" customHeight="1">
      <c r="A472" s="30"/>
      <c r="V472" s="30"/>
    </row>
    <row r="473" spans="1:22" ht="15.75" customHeight="1">
      <c r="A473" s="30"/>
      <c r="V473" s="30"/>
    </row>
    <row r="474" spans="1:22" ht="15.75" customHeight="1">
      <c r="A474" s="30"/>
      <c r="V474" s="30"/>
    </row>
    <row r="475" spans="1:22" ht="15.75" customHeight="1">
      <c r="A475" s="30"/>
      <c r="V475" s="30"/>
    </row>
    <row r="476" spans="1:22" ht="15.75" customHeight="1">
      <c r="A476" s="30"/>
      <c r="V476" s="30"/>
    </row>
    <row r="477" spans="1:22" ht="15.75" customHeight="1">
      <c r="A477" s="30"/>
      <c r="V477" s="30"/>
    </row>
    <row r="478" spans="1:22" ht="15.75" customHeight="1">
      <c r="A478" s="30"/>
      <c r="V478" s="30"/>
    </row>
    <row r="479" spans="1:22" ht="15.75" customHeight="1">
      <c r="A479" s="30"/>
      <c r="V479" s="30"/>
    </row>
    <row r="480" spans="1:22" ht="15.75" customHeight="1">
      <c r="A480" s="30"/>
      <c r="V480" s="30"/>
    </row>
    <row r="481" spans="1:22" ht="15.75" customHeight="1">
      <c r="A481" s="30"/>
      <c r="V481" s="30"/>
    </row>
    <row r="482" spans="1:22" ht="15.75" customHeight="1">
      <c r="A482" s="30"/>
      <c r="V482" s="30"/>
    </row>
    <row r="483" spans="1:22" ht="15.75" customHeight="1">
      <c r="A483" s="30"/>
      <c r="V483" s="30"/>
    </row>
    <row r="484" spans="1:22" ht="15.75" customHeight="1">
      <c r="A484" s="30"/>
      <c r="V484" s="30"/>
    </row>
    <row r="485" spans="1:22" ht="15.75" customHeight="1">
      <c r="A485" s="30"/>
      <c r="V485" s="30"/>
    </row>
    <row r="486" spans="1:22" ht="15.75" customHeight="1">
      <c r="A486" s="30"/>
      <c r="V486" s="30"/>
    </row>
    <row r="487" spans="1:22" ht="15.75" customHeight="1">
      <c r="A487" s="30"/>
      <c r="V487" s="30"/>
    </row>
    <row r="488" spans="1:22" ht="15.75" customHeight="1">
      <c r="A488" s="30"/>
      <c r="V488" s="30"/>
    </row>
    <row r="489" spans="1:22" ht="15.75" customHeight="1">
      <c r="A489" s="30"/>
      <c r="V489" s="30"/>
    </row>
    <row r="490" spans="1:22" ht="15.75" customHeight="1">
      <c r="A490" s="30"/>
      <c r="V490" s="30"/>
    </row>
    <row r="491" spans="1:22" ht="15.75" customHeight="1">
      <c r="A491" s="30"/>
      <c r="V491" s="30"/>
    </row>
    <row r="492" spans="1:22" ht="15.75" customHeight="1">
      <c r="A492" s="30"/>
      <c r="V492" s="30"/>
    </row>
    <row r="493" spans="1:22" ht="15.75" customHeight="1">
      <c r="A493" s="30"/>
      <c r="V493" s="30"/>
    </row>
    <row r="494" spans="1:22" ht="15.75" customHeight="1">
      <c r="A494" s="30"/>
      <c r="V494" s="30"/>
    </row>
    <row r="495" spans="1:22" ht="15.75" customHeight="1">
      <c r="A495" s="30"/>
      <c r="V495" s="30"/>
    </row>
    <row r="496" spans="1:22" ht="15.75" customHeight="1">
      <c r="A496" s="30"/>
      <c r="V496" s="30"/>
    </row>
    <row r="497" spans="1:22" ht="15.75" customHeight="1">
      <c r="A497" s="30"/>
      <c r="V497" s="30"/>
    </row>
    <row r="498" spans="1:22" ht="15.75" customHeight="1">
      <c r="A498" s="30"/>
      <c r="V498" s="30"/>
    </row>
    <row r="499" spans="1:22" ht="15.75" customHeight="1">
      <c r="A499" s="30"/>
      <c r="V499" s="30"/>
    </row>
    <row r="500" spans="1:22" ht="15.75" customHeight="1">
      <c r="A500" s="30"/>
      <c r="V500" s="30"/>
    </row>
    <row r="501" spans="1:22" ht="15.75" customHeight="1">
      <c r="A501" s="30"/>
      <c r="V501" s="30"/>
    </row>
    <row r="502" spans="1:22" ht="15.75" customHeight="1">
      <c r="A502" s="30"/>
      <c r="V502" s="30"/>
    </row>
    <row r="503" spans="1:22" ht="15.75" customHeight="1">
      <c r="A503" s="30"/>
      <c r="V503" s="30"/>
    </row>
    <row r="504" spans="1:22" ht="15.75" customHeight="1">
      <c r="A504" s="30"/>
      <c r="V504" s="30"/>
    </row>
    <row r="505" spans="1:22" ht="15.75" customHeight="1">
      <c r="A505" s="30"/>
      <c r="V505" s="30"/>
    </row>
    <row r="506" spans="1:22" ht="15.75" customHeight="1">
      <c r="A506" s="30"/>
      <c r="V506" s="30"/>
    </row>
    <row r="507" spans="1:22" ht="15.75" customHeight="1">
      <c r="A507" s="30"/>
      <c r="V507" s="30"/>
    </row>
    <row r="508" spans="1:22" ht="15.75" customHeight="1">
      <c r="A508" s="30"/>
      <c r="V508" s="30"/>
    </row>
    <row r="509" spans="1:22" ht="15.75" customHeight="1">
      <c r="A509" s="30"/>
      <c r="V509" s="30"/>
    </row>
    <row r="510" spans="1:22" ht="15.75" customHeight="1">
      <c r="A510" s="30"/>
      <c r="V510" s="30"/>
    </row>
    <row r="511" spans="1:22" ht="15.75" customHeight="1">
      <c r="A511" s="30"/>
      <c r="V511" s="30"/>
    </row>
    <row r="512" spans="1:22" ht="15.75" customHeight="1">
      <c r="A512" s="30"/>
      <c r="V512" s="30"/>
    </row>
    <row r="513" spans="1:22" ht="15.75" customHeight="1">
      <c r="A513" s="30"/>
      <c r="V513" s="30"/>
    </row>
    <row r="514" spans="1:22" ht="15.75" customHeight="1">
      <c r="A514" s="30"/>
      <c r="V514" s="30"/>
    </row>
    <row r="515" spans="1:22" ht="15.75" customHeight="1">
      <c r="A515" s="30"/>
      <c r="V515" s="30"/>
    </row>
    <row r="516" spans="1:22" ht="15.75" customHeight="1">
      <c r="A516" s="30"/>
      <c r="V516" s="30"/>
    </row>
    <row r="517" spans="1:22" ht="15.75" customHeight="1">
      <c r="A517" s="30"/>
      <c r="V517" s="30"/>
    </row>
    <row r="518" spans="1:22" ht="15.75" customHeight="1">
      <c r="A518" s="30"/>
      <c r="V518" s="30"/>
    </row>
    <row r="519" spans="1:22" ht="15.75" customHeight="1">
      <c r="A519" s="30"/>
      <c r="V519" s="30"/>
    </row>
    <row r="520" spans="1:22" ht="15.75" customHeight="1">
      <c r="A520" s="30"/>
      <c r="V520" s="30"/>
    </row>
    <row r="521" spans="1:22" ht="15.75" customHeight="1">
      <c r="A521" s="30"/>
      <c r="V521" s="30"/>
    </row>
    <row r="522" spans="1:22" ht="15.75" customHeight="1">
      <c r="A522" s="30"/>
      <c r="V522" s="30"/>
    </row>
    <row r="523" spans="1:22" ht="15.75" customHeight="1">
      <c r="A523" s="30"/>
      <c r="V523" s="30"/>
    </row>
    <row r="524" spans="1:22" ht="15.75" customHeight="1">
      <c r="A524" s="30"/>
      <c r="V524" s="30"/>
    </row>
    <row r="525" spans="1:22" ht="15.75" customHeight="1">
      <c r="A525" s="30"/>
      <c r="V525" s="30"/>
    </row>
    <row r="526" spans="1:22" ht="15.75" customHeight="1">
      <c r="A526" s="30"/>
      <c r="V526" s="30"/>
    </row>
    <row r="527" spans="1:22" ht="15.75" customHeight="1">
      <c r="A527" s="30"/>
      <c r="V527" s="30"/>
    </row>
    <row r="528" spans="1:22" ht="15.75" customHeight="1">
      <c r="A528" s="30"/>
      <c r="V528" s="30"/>
    </row>
    <row r="529" spans="1:22" ht="15.75" customHeight="1">
      <c r="A529" s="30"/>
      <c r="V529" s="30"/>
    </row>
    <row r="530" spans="1:22" ht="15.75" customHeight="1">
      <c r="A530" s="30"/>
      <c r="V530" s="30"/>
    </row>
    <row r="531" spans="1:22" ht="15.75" customHeight="1">
      <c r="A531" s="30"/>
      <c r="V531" s="30"/>
    </row>
    <row r="532" spans="1:22" ht="15.75" customHeight="1">
      <c r="A532" s="30"/>
      <c r="V532" s="30"/>
    </row>
    <row r="533" spans="1:22" ht="15.75" customHeight="1">
      <c r="A533" s="30"/>
      <c r="V533" s="30"/>
    </row>
    <row r="534" spans="1:22" ht="15.75" customHeight="1">
      <c r="A534" s="30"/>
      <c r="V534" s="30"/>
    </row>
    <row r="535" spans="1:22" ht="15.75" customHeight="1">
      <c r="A535" s="30"/>
      <c r="V535" s="30"/>
    </row>
    <row r="536" spans="1:22" ht="15.75" customHeight="1">
      <c r="A536" s="30"/>
      <c r="V536" s="30"/>
    </row>
    <row r="537" spans="1:22" ht="15.75" customHeight="1">
      <c r="A537" s="30"/>
      <c r="V537" s="30"/>
    </row>
    <row r="538" spans="1:22" ht="15.75" customHeight="1">
      <c r="A538" s="30"/>
      <c r="V538" s="30"/>
    </row>
    <row r="539" spans="1:22" ht="15.75" customHeight="1">
      <c r="A539" s="30"/>
      <c r="V539" s="30"/>
    </row>
    <row r="540" spans="1:22" ht="15.75" customHeight="1">
      <c r="A540" s="30"/>
      <c r="V540" s="30"/>
    </row>
    <row r="541" spans="1:22" ht="15.75" customHeight="1">
      <c r="A541" s="30"/>
      <c r="V541" s="30"/>
    </row>
    <row r="542" spans="1:22" ht="15.75" customHeight="1">
      <c r="A542" s="30"/>
      <c r="V542" s="30"/>
    </row>
    <row r="543" spans="1:22" ht="15.75" customHeight="1">
      <c r="A543" s="30"/>
      <c r="V543" s="30"/>
    </row>
    <row r="544" spans="1:22" ht="15.75" customHeight="1">
      <c r="A544" s="30"/>
      <c r="V544" s="30"/>
    </row>
    <row r="545" spans="1:22" ht="15.75" customHeight="1">
      <c r="A545" s="30"/>
      <c r="V545" s="30"/>
    </row>
    <row r="546" spans="1:22" ht="15.75" customHeight="1">
      <c r="A546" s="30"/>
      <c r="V546" s="30"/>
    </row>
    <row r="547" spans="1:22" ht="15.75" customHeight="1">
      <c r="A547" s="30"/>
      <c r="V547" s="30"/>
    </row>
    <row r="548" spans="1:22" ht="15.75" customHeight="1">
      <c r="A548" s="30"/>
      <c r="V548" s="30"/>
    </row>
    <row r="549" spans="1:22" ht="15.75" customHeight="1">
      <c r="A549" s="30"/>
      <c r="V549" s="30"/>
    </row>
    <row r="550" spans="1:22" ht="15.75" customHeight="1">
      <c r="A550" s="30"/>
      <c r="V550" s="30"/>
    </row>
    <row r="551" spans="1:22" ht="15.75" customHeight="1">
      <c r="A551" s="30"/>
      <c r="V551" s="30"/>
    </row>
    <row r="552" spans="1:22" ht="15.75" customHeight="1">
      <c r="A552" s="30"/>
      <c r="V552" s="30"/>
    </row>
    <row r="553" spans="1:22" ht="15.75" customHeight="1">
      <c r="A553" s="30"/>
      <c r="V553" s="30"/>
    </row>
    <row r="554" spans="1:22" ht="15.75" customHeight="1">
      <c r="A554" s="30"/>
      <c r="V554" s="30"/>
    </row>
    <row r="555" spans="1:22" ht="15.75" customHeight="1">
      <c r="A555" s="30"/>
      <c r="V555" s="30"/>
    </row>
    <row r="556" spans="1:22" ht="15.75" customHeight="1">
      <c r="A556" s="30"/>
      <c r="V556" s="30"/>
    </row>
    <row r="557" spans="1:22" ht="15.75" customHeight="1">
      <c r="A557" s="30"/>
      <c r="V557" s="30"/>
    </row>
    <row r="558" spans="1:22" ht="15.75" customHeight="1">
      <c r="A558" s="30"/>
      <c r="V558" s="30"/>
    </row>
    <row r="559" spans="1:22" ht="15.75" customHeight="1">
      <c r="A559" s="30"/>
      <c r="V559" s="30"/>
    </row>
    <row r="560" spans="1:22" ht="15.75" customHeight="1">
      <c r="A560" s="30"/>
      <c r="V560" s="30"/>
    </row>
    <row r="561" spans="1:22" ht="15.75" customHeight="1">
      <c r="A561" s="30"/>
      <c r="V561" s="30"/>
    </row>
    <row r="562" spans="1:22" ht="15.75" customHeight="1">
      <c r="A562" s="30"/>
      <c r="V562" s="30"/>
    </row>
    <row r="563" spans="1:22" ht="15.75" customHeight="1">
      <c r="A563" s="30"/>
      <c r="V563" s="30"/>
    </row>
    <row r="564" spans="1:22" ht="15.75" customHeight="1">
      <c r="A564" s="30"/>
      <c r="V564" s="30"/>
    </row>
    <row r="565" spans="1:22" ht="15.75" customHeight="1">
      <c r="A565" s="30"/>
      <c r="V565" s="30"/>
    </row>
    <row r="566" spans="1:22" ht="15.75" customHeight="1">
      <c r="A566" s="30"/>
      <c r="V566" s="30"/>
    </row>
    <row r="567" spans="1:22" ht="15.75" customHeight="1">
      <c r="A567" s="30"/>
      <c r="V567" s="30"/>
    </row>
    <row r="568" spans="1:22" ht="15.75" customHeight="1">
      <c r="A568" s="30"/>
      <c r="V568" s="30"/>
    </row>
    <row r="569" spans="1:22" ht="15.75" customHeight="1">
      <c r="A569" s="30"/>
      <c r="V569" s="30"/>
    </row>
    <row r="570" spans="1:22" ht="15.75" customHeight="1">
      <c r="A570" s="30"/>
      <c r="V570" s="30"/>
    </row>
    <row r="571" spans="1:22" ht="15.75" customHeight="1">
      <c r="A571" s="30"/>
      <c r="V571" s="30"/>
    </row>
    <row r="572" spans="1:22" ht="15.75" customHeight="1">
      <c r="A572" s="30"/>
      <c r="V572" s="30"/>
    </row>
    <row r="573" spans="1:22" ht="15.75" customHeight="1">
      <c r="A573" s="30"/>
      <c r="V573" s="30"/>
    </row>
    <row r="574" spans="1:22" ht="15.75" customHeight="1">
      <c r="A574" s="30"/>
      <c r="V574" s="30"/>
    </row>
    <row r="575" spans="1:22" ht="15.75" customHeight="1">
      <c r="A575" s="30"/>
      <c r="V575" s="30"/>
    </row>
    <row r="576" spans="1:22" ht="15.75" customHeight="1">
      <c r="A576" s="30"/>
      <c r="V576" s="30"/>
    </row>
    <row r="577" spans="1:22" ht="15.75" customHeight="1">
      <c r="A577" s="30"/>
      <c r="V577" s="30"/>
    </row>
    <row r="578" spans="1:22" ht="15.75" customHeight="1">
      <c r="A578" s="30"/>
      <c r="V578" s="30"/>
    </row>
    <row r="579" spans="1:22" ht="15.75" customHeight="1">
      <c r="A579" s="30"/>
      <c r="V579" s="30"/>
    </row>
    <row r="580" spans="1:22" ht="15.75" customHeight="1">
      <c r="A580" s="30"/>
      <c r="V580" s="30"/>
    </row>
    <row r="581" spans="1:22" ht="15.75" customHeight="1">
      <c r="A581" s="30"/>
      <c r="V581" s="30"/>
    </row>
    <row r="582" spans="1:22" ht="15.75" customHeight="1">
      <c r="A582" s="30"/>
      <c r="V582" s="30"/>
    </row>
    <row r="583" spans="1:22" ht="15.75" customHeight="1">
      <c r="A583" s="30"/>
      <c r="V583" s="30"/>
    </row>
    <row r="584" spans="1:22" ht="15.75" customHeight="1">
      <c r="A584" s="30"/>
      <c r="V584" s="30"/>
    </row>
    <row r="585" spans="1:22" ht="15.75" customHeight="1">
      <c r="A585" s="30"/>
      <c r="V585" s="30"/>
    </row>
    <row r="586" spans="1:22" ht="15.75" customHeight="1">
      <c r="A586" s="30"/>
      <c r="V586" s="30"/>
    </row>
    <row r="587" spans="1:22" ht="15.75" customHeight="1">
      <c r="A587" s="30"/>
      <c r="V587" s="30"/>
    </row>
    <row r="588" spans="1:22" ht="15.75" customHeight="1">
      <c r="A588" s="30"/>
      <c r="V588" s="30"/>
    </row>
    <row r="589" spans="1:22" ht="15.75" customHeight="1">
      <c r="A589" s="30"/>
      <c r="V589" s="30"/>
    </row>
    <row r="590" spans="1:22" ht="15.75" customHeight="1">
      <c r="A590" s="30"/>
      <c r="V590" s="30"/>
    </row>
    <row r="591" spans="1:22" ht="15.75" customHeight="1">
      <c r="A591" s="30"/>
      <c r="V591" s="30"/>
    </row>
    <row r="592" spans="1:22" ht="15.75" customHeight="1">
      <c r="A592" s="30"/>
      <c r="V592" s="30"/>
    </row>
    <row r="593" spans="1:22" ht="15.75" customHeight="1">
      <c r="A593" s="30"/>
      <c r="V593" s="30"/>
    </row>
    <row r="594" spans="1:22" ht="15.75" customHeight="1">
      <c r="A594" s="30"/>
      <c r="V594" s="30"/>
    </row>
    <row r="595" spans="1:22" ht="15.75" customHeight="1">
      <c r="A595" s="30"/>
      <c r="V595" s="30"/>
    </row>
    <row r="596" spans="1:22" ht="15.75" customHeight="1">
      <c r="A596" s="30"/>
      <c r="V596" s="30"/>
    </row>
    <row r="597" spans="1:22" ht="15.75" customHeight="1">
      <c r="A597" s="30"/>
      <c r="V597" s="30"/>
    </row>
    <row r="598" spans="1:22" ht="15.75" customHeight="1">
      <c r="A598" s="30"/>
      <c r="V598" s="30"/>
    </row>
    <row r="599" spans="1:22" ht="15.75" customHeight="1">
      <c r="A599" s="30"/>
      <c r="V599" s="30"/>
    </row>
    <row r="600" spans="1:22" ht="15.75" customHeight="1">
      <c r="A600" s="30"/>
      <c r="V600" s="30"/>
    </row>
    <row r="601" spans="1:22" ht="15.75" customHeight="1">
      <c r="A601" s="30"/>
      <c r="V601" s="30"/>
    </row>
    <row r="602" spans="1:22" ht="15.75" customHeight="1">
      <c r="A602" s="30"/>
      <c r="V602" s="30"/>
    </row>
    <row r="603" spans="1:22" ht="15.75" customHeight="1">
      <c r="A603" s="30"/>
      <c r="V603" s="30"/>
    </row>
    <row r="604" spans="1:22" ht="15.75" customHeight="1">
      <c r="A604" s="30"/>
      <c r="V604" s="30"/>
    </row>
    <row r="605" spans="1:22" ht="15.75" customHeight="1">
      <c r="A605" s="30"/>
      <c r="V605" s="30"/>
    </row>
    <row r="606" spans="1:22" ht="15.75" customHeight="1">
      <c r="A606" s="30"/>
      <c r="V606" s="30"/>
    </row>
    <row r="607" spans="1:22" ht="15.75" customHeight="1">
      <c r="A607" s="30"/>
      <c r="V607" s="30"/>
    </row>
    <row r="608" spans="1:22" ht="15.75" customHeight="1">
      <c r="A608" s="30"/>
      <c r="V608" s="30"/>
    </row>
    <row r="609" spans="1:22" ht="15.75" customHeight="1">
      <c r="A609" s="30"/>
      <c r="V609" s="30"/>
    </row>
    <row r="610" spans="1:22" ht="15.75" customHeight="1">
      <c r="A610" s="30"/>
      <c r="V610" s="30"/>
    </row>
    <row r="611" spans="1:22" ht="15.75" customHeight="1">
      <c r="A611" s="30"/>
      <c r="V611" s="30"/>
    </row>
    <row r="612" spans="1:22" ht="15.75" customHeight="1">
      <c r="A612" s="30"/>
      <c r="V612" s="30"/>
    </row>
    <row r="613" spans="1:22" ht="15.75" customHeight="1">
      <c r="A613" s="30"/>
      <c r="V613" s="30"/>
    </row>
    <row r="614" spans="1:22" ht="15.75" customHeight="1">
      <c r="A614" s="30"/>
      <c r="V614" s="30"/>
    </row>
    <row r="615" spans="1:22" ht="15.75" customHeight="1">
      <c r="A615" s="30"/>
      <c r="V615" s="30"/>
    </row>
    <row r="616" spans="1:22" ht="15.75" customHeight="1">
      <c r="A616" s="30"/>
      <c r="V616" s="30"/>
    </row>
    <row r="617" spans="1:22" ht="15.75" customHeight="1">
      <c r="A617" s="30"/>
      <c r="V617" s="30"/>
    </row>
    <row r="618" spans="1:22" ht="15.75" customHeight="1">
      <c r="A618" s="30"/>
      <c r="V618" s="30"/>
    </row>
    <row r="619" spans="1:22" ht="15.75" customHeight="1">
      <c r="A619" s="30"/>
      <c r="V619" s="30"/>
    </row>
    <row r="620" spans="1:22" ht="15.75" customHeight="1">
      <c r="A620" s="30"/>
      <c r="V620" s="30"/>
    </row>
    <row r="621" spans="1:22" ht="15.75" customHeight="1">
      <c r="A621" s="30"/>
      <c r="V621" s="30"/>
    </row>
    <row r="622" spans="1:22" ht="15.75" customHeight="1">
      <c r="A622" s="30"/>
      <c r="V622" s="30"/>
    </row>
    <row r="623" spans="1:22" ht="15.75" customHeight="1">
      <c r="A623" s="30"/>
      <c r="V623" s="30"/>
    </row>
    <row r="624" spans="1:22" ht="15.75" customHeight="1">
      <c r="A624" s="30"/>
      <c r="V624" s="30"/>
    </row>
    <row r="625" spans="1:22" ht="15.75" customHeight="1">
      <c r="A625" s="30"/>
      <c r="V625" s="30"/>
    </row>
    <row r="626" spans="1:22" ht="15.75" customHeight="1">
      <c r="A626" s="30"/>
      <c r="V626" s="30"/>
    </row>
    <row r="627" spans="1:22" ht="15.75" customHeight="1">
      <c r="A627" s="30"/>
      <c r="V627" s="30"/>
    </row>
    <row r="628" spans="1:22" ht="15.75" customHeight="1">
      <c r="A628" s="30"/>
      <c r="V628" s="30"/>
    </row>
    <row r="629" spans="1:22" ht="15.75" customHeight="1">
      <c r="A629" s="30"/>
      <c r="V629" s="30"/>
    </row>
    <row r="630" spans="1:22" ht="15.75" customHeight="1">
      <c r="A630" s="30"/>
      <c r="V630" s="30"/>
    </row>
    <row r="631" spans="1:22" ht="15.75" customHeight="1">
      <c r="A631" s="30"/>
      <c r="V631" s="30"/>
    </row>
    <row r="632" spans="1:22" ht="15.75" customHeight="1">
      <c r="A632" s="30"/>
      <c r="V632" s="30"/>
    </row>
    <row r="633" spans="1:22" ht="15.75" customHeight="1">
      <c r="A633" s="30"/>
      <c r="V633" s="30"/>
    </row>
    <row r="634" spans="1:22" ht="15.75" customHeight="1">
      <c r="A634" s="30"/>
      <c r="V634" s="30"/>
    </row>
    <row r="635" spans="1:22" ht="15.75" customHeight="1">
      <c r="A635" s="30"/>
      <c r="V635" s="30"/>
    </row>
    <row r="636" spans="1:22" ht="15.75" customHeight="1">
      <c r="A636" s="30"/>
      <c r="V636" s="30"/>
    </row>
    <row r="637" spans="1:22" ht="15.75" customHeight="1">
      <c r="A637" s="30"/>
      <c r="V637" s="30"/>
    </row>
    <row r="638" spans="1:22" ht="15.75" customHeight="1">
      <c r="A638" s="30"/>
      <c r="V638" s="30"/>
    </row>
    <row r="639" spans="1:22" ht="15.75" customHeight="1">
      <c r="A639" s="30"/>
      <c r="V639" s="30"/>
    </row>
    <row r="640" spans="1:22" ht="15.75" customHeight="1">
      <c r="A640" s="30"/>
      <c r="V640" s="30"/>
    </row>
    <row r="641" spans="1:22" ht="15.75" customHeight="1">
      <c r="A641" s="30"/>
      <c r="V641" s="30"/>
    </row>
    <row r="642" spans="1:22" ht="15.75" customHeight="1">
      <c r="A642" s="30"/>
      <c r="V642" s="30"/>
    </row>
    <row r="643" spans="1:22" ht="15.75" customHeight="1">
      <c r="A643" s="30"/>
      <c r="V643" s="30"/>
    </row>
    <row r="644" spans="1:22" ht="15.75" customHeight="1">
      <c r="A644" s="30"/>
      <c r="V644" s="30"/>
    </row>
    <row r="645" spans="1:22" ht="15.75" customHeight="1">
      <c r="A645" s="30"/>
      <c r="V645" s="30"/>
    </row>
    <row r="646" spans="1:22" ht="15.75" customHeight="1">
      <c r="A646" s="30"/>
      <c r="V646" s="30"/>
    </row>
    <row r="647" spans="1:22" ht="15.75" customHeight="1">
      <c r="A647" s="30"/>
      <c r="V647" s="30"/>
    </row>
    <row r="648" spans="1:22" ht="15.75" customHeight="1">
      <c r="A648" s="30"/>
      <c r="V648" s="30"/>
    </row>
    <row r="649" spans="1:22" ht="15.75" customHeight="1">
      <c r="A649" s="30"/>
      <c r="V649" s="30"/>
    </row>
    <row r="650" spans="1:22" ht="15.75" customHeight="1">
      <c r="A650" s="30"/>
      <c r="V650" s="30"/>
    </row>
    <row r="651" spans="1:22" ht="15.75" customHeight="1">
      <c r="A651" s="30"/>
      <c r="V651" s="30"/>
    </row>
    <row r="652" spans="1:22" ht="15.75" customHeight="1">
      <c r="A652" s="30"/>
      <c r="V652" s="30"/>
    </row>
    <row r="653" spans="1:22" ht="15.75" customHeight="1">
      <c r="A653" s="30"/>
      <c r="V653" s="30"/>
    </row>
    <row r="654" spans="1:22" ht="15.75" customHeight="1">
      <c r="A654" s="30"/>
      <c r="V654" s="30"/>
    </row>
    <row r="655" spans="1:22" ht="15.75" customHeight="1">
      <c r="A655" s="30"/>
      <c r="V655" s="30"/>
    </row>
    <row r="656" spans="1:22" ht="15.75" customHeight="1">
      <c r="A656" s="30"/>
      <c r="V656" s="30"/>
    </row>
    <row r="657" spans="1:22" ht="15.75" customHeight="1">
      <c r="A657" s="30"/>
      <c r="V657" s="30"/>
    </row>
    <row r="658" spans="1:22" ht="15.75" customHeight="1">
      <c r="A658" s="30"/>
      <c r="V658" s="30"/>
    </row>
    <row r="659" spans="1:22" ht="15.75" customHeight="1">
      <c r="A659" s="30"/>
      <c r="V659" s="30"/>
    </row>
    <row r="660" spans="1:22" ht="15.75" customHeight="1">
      <c r="A660" s="30"/>
      <c r="V660" s="30"/>
    </row>
    <row r="661" spans="1:22" ht="15.75" customHeight="1">
      <c r="A661" s="30"/>
      <c r="V661" s="30"/>
    </row>
    <row r="662" spans="1:22" ht="15.75" customHeight="1">
      <c r="A662" s="30"/>
      <c r="V662" s="30"/>
    </row>
    <row r="663" spans="1:22" ht="15.75" customHeight="1">
      <c r="A663" s="30"/>
      <c r="V663" s="30"/>
    </row>
    <row r="664" spans="1:22" ht="15.75" customHeight="1">
      <c r="A664" s="30"/>
      <c r="V664" s="30"/>
    </row>
    <row r="665" spans="1:22" ht="15.75" customHeight="1">
      <c r="A665" s="30"/>
      <c r="V665" s="30"/>
    </row>
    <row r="666" spans="1:22" ht="15.75" customHeight="1">
      <c r="A666" s="30"/>
      <c r="V666" s="30"/>
    </row>
    <row r="667" spans="1:22" ht="15.75" customHeight="1">
      <c r="A667" s="30"/>
      <c r="V667" s="30"/>
    </row>
    <row r="668" spans="1:22" ht="15.75" customHeight="1">
      <c r="A668" s="30"/>
      <c r="V668" s="30"/>
    </row>
    <row r="669" spans="1:22" ht="15.75" customHeight="1">
      <c r="A669" s="30"/>
      <c r="V669" s="30"/>
    </row>
    <row r="670" spans="1:22" ht="15.75" customHeight="1">
      <c r="A670" s="30"/>
      <c r="V670" s="30"/>
    </row>
    <row r="671" spans="1:22" ht="15.75" customHeight="1">
      <c r="A671" s="30"/>
      <c r="V671" s="30"/>
    </row>
    <row r="672" spans="1:22" ht="15.75" customHeight="1">
      <c r="A672" s="30"/>
      <c r="V672" s="30"/>
    </row>
    <row r="673" spans="1:22" ht="15.75" customHeight="1">
      <c r="A673" s="30"/>
      <c r="V673" s="30"/>
    </row>
    <row r="674" spans="1:22" ht="15.75" customHeight="1">
      <c r="A674" s="30"/>
      <c r="V674" s="30"/>
    </row>
    <row r="675" spans="1:22" ht="15.75" customHeight="1">
      <c r="A675" s="30"/>
      <c r="V675" s="30"/>
    </row>
    <row r="676" spans="1:22" ht="15.75" customHeight="1">
      <c r="A676" s="30"/>
      <c r="V676" s="30"/>
    </row>
    <row r="677" spans="1:22" ht="15.75" customHeight="1">
      <c r="A677" s="30"/>
      <c r="V677" s="30"/>
    </row>
    <row r="678" spans="1:22" ht="15.75" customHeight="1">
      <c r="A678" s="30"/>
      <c r="V678" s="30"/>
    </row>
    <row r="679" spans="1:22" ht="15.75" customHeight="1">
      <c r="A679" s="30"/>
      <c r="V679" s="30"/>
    </row>
    <row r="680" spans="1:22" ht="15.75" customHeight="1">
      <c r="A680" s="30"/>
      <c r="V680" s="30"/>
    </row>
    <row r="681" spans="1:22" ht="15.75" customHeight="1">
      <c r="A681" s="30"/>
      <c r="V681" s="30"/>
    </row>
    <row r="682" spans="1:22" ht="15.75" customHeight="1">
      <c r="A682" s="30"/>
      <c r="V682" s="30"/>
    </row>
    <row r="683" spans="1:22" ht="15.75" customHeight="1">
      <c r="A683" s="30"/>
      <c r="V683" s="30"/>
    </row>
    <row r="684" spans="1:22" ht="15.75" customHeight="1">
      <c r="A684" s="30"/>
      <c r="V684" s="30"/>
    </row>
    <row r="685" spans="1:22" ht="15.75" customHeight="1">
      <c r="A685" s="30"/>
      <c r="V685" s="30"/>
    </row>
    <row r="686" spans="1:22" ht="15.75" customHeight="1">
      <c r="A686" s="30"/>
      <c r="V686" s="30"/>
    </row>
    <row r="687" spans="1:22" ht="15.75" customHeight="1">
      <c r="A687" s="30"/>
      <c r="V687" s="30"/>
    </row>
    <row r="688" spans="1:22" ht="15.75" customHeight="1">
      <c r="A688" s="30"/>
      <c r="V688" s="30"/>
    </row>
    <row r="689" spans="1:22" ht="15.75" customHeight="1">
      <c r="A689" s="30"/>
      <c r="V689" s="30"/>
    </row>
    <row r="690" spans="1:22" ht="15.75" customHeight="1">
      <c r="A690" s="30"/>
      <c r="V690" s="30"/>
    </row>
    <row r="691" spans="1:22" ht="15.75" customHeight="1">
      <c r="A691" s="30"/>
      <c r="V691" s="30"/>
    </row>
    <row r="692" spans="1:22" ht="15.75" customHeight="1">
      <c r="A692" s="30"/>
      <c r="V692" s="30"/>
    </row>
    <row r="693" spans="1:22" ht="15.75" customHeight="1">
      <c r="A693" s="30"/>
      <c r="V693" s="30"/>
    </row>
    <row r="694" spans="1:22" ht="15.75" customHeight="1">
      <c r="A694" s="30"/>
      <c r="V694" s="30"/>
    </row>
    <row r="695" spans="1:22" ht="15.75" customHeight="1">
      <c r="A695" s="30"/>
      <c r="V695" s="30"/>
    </row>
    <row r="696" spans="1:22" ht="15.75" customHeight="1">
      <c r="A696" s="30"/>
      <c r="V696" s="30"/>
    </row>
    <row r="697" spans="1:22" ht="15.75" customHeight="1">
      <c r="A697" s="30"/>
      <c r="V697" s="30"/>
    </row>
    <row r="698" spans="1:22" ht="15.75" customHeight="1">
      <c r="A698" s="30"/>
      <c r="V698" s="30"/>
    </row>
    <row r="699" spans="1:22" ht="15.75" customHeight="1">
      <c r="A699" s="30"/>
      <c r="V699" s="30"/>
    </row>
    <row r="700" spans="1:22" ht="15.75" customHeight="1">
      <c r="A700" s="30"/>
      <c r="V700" s="30"/>
    </row>
    <row r="701" spans="1:22" ht="15.75" customHeight="1">
      <c r="A701" s="30"/>
      <c r="V701" s="30"/>
    </row>
    <row r="702" spans="1:22" ht="15.75" customHeight="1">
      <c r="A702" s="30"/>
      <c r="V702" s="30"/>
    </row>
    <row r="703" spans="1:22" ht="15.75" customHeight="1">
      <c r="A703" s="30"/>
      <c r="V703" s="30"/>
    </row>
    <row r="704" spans="1:22" ht="15.75" customHeight="1">
      <c r="A704" s="30"/>
      <c r="V704" s="30"/>
    </row>
    <row r="705" spans="1:22" ht="15.75" customHeight="1">
      <c r="A705" s="30"/>
      <c r="V705" s="30"/>
    </row>
    <row r="706" spans="1:22" ht="15.75" customHeight="1">
      <c r="A706" s="30"/>
      <c r="V706" s="30"/>
    </row>
    <row r="707" spans="1:22" ht="15.75" customHeight="1">
      <c r="A707" s="30"/>
      <c r="V707" s="30"/>
    </row>
    <row r="708" spans="1:22" ht="15.75" customHeight="1">
      <c r="A708" s="30"/>
      <c r="V708" s="30"/>
    </row>
    <row r="709" spans="1:22" ht="15.75" customHeight="1">
      <c r="A709" s="30"/>
      <c r="V709" s="30"/>
    </row>
    <row r="710" spans="1:22" ht="15.75" customHeight="1">
      <c r="A710" s="30"/>
      <c r="V710" s="30"/>
    </row>
    <row r="711" spans="1:22" ht="15.75" customHeight="1">
      <c r="A711" s="30"/>
      <c r="V711" s="30"/>
    </row>
    <row r="712" spans="1:22" ht="15.75" customHeight="1">
      <c r="A712" s="30"/>
      <c r="V712" s="30"/>
    </row>
    <row r="713" spans="1:22" ht="15.75" customHeight="1">
      <c r="A713" s="30"/>
      <c r="V713" s="30"/>
    </row>
    <row r="714" spans="1:22" ht="15.75" customHeight="1">
      <c r="A714" s="30"/>
      <c r="V714" s="30"/>
    </row>
    <row r="715" spans="1:22" ht="15.75" customHeight="1">
      <c r="A715" s="30"/>
      <c r="V715" s="30"/>
    </row>
    <row r="716" spans="1:22" ht="15.75" customHeight="1">
      <c r="A716" s="30"/>
      <c r="V716" s="30"/>
    </row>
    <row r="717" spans="1:22" ht="15.75" customHeight="1">
      <c r="A717" s="30"/>
      <c r="V717" s="30"/>
    </row>
    <row r="718" spans="1:22" ht="15.75" customHeight="1">
      <c r="A718" s="30"/>
      <c r="V718" s="30"/>
    </row>
    <row r="719" spans="1:22" ht="15.75" customHeight="1">
      <c r="A719" s="30"/>
      <c r="V719" s="30"/>
    </row>
    <row r="720" spans="1:22" ht="15.75" customHeight="1">
      <c r="A720" s="30"/>
      <c r="V720" s="30"/>
    </row>
    <row r="721" spans="1:22" ht="15.75" customHeight="1">
      <c r="A721" s="30"/>
      <c r="V721" s="30"/>
    </row>
    <row r="722" spans="1:22" ht="15.75" customHeight="1">
      <c r="A722" s="30"/>
      <c r="V722" s="30"/>
    </row>
    <row r="723" spans="1:22" ht="15.75" customHeight="1">
      <c r="A723" s="30"/>
      <c r="V723" s="30"/>
    </row>
    <row r="724" spans="1:22" ht="15.75" customHeight="1">
      <c r="A724" s="30"/>
      <c r="V724" s="30"/>
    </row>
    <row r="725" spans="1:22" ht="15.75" customHeight="1">
      <c r="A725" s="30"/>
      <c r="V725" s="30"/>
    </row>
    <row r="726" spans="1:22" ht="15.75" customHeight="1">
      <c r="A726" s="30"/>
      <c r="V726" s="30"/>
    </row>
    <row r="727" spans="1:22" ht="15.75" customHeight="1">
      <c r="A727" s="30"/>
      <c r="V727" s="30"/>
    </row>
    <row r="728" spans="1:22" ht="15.75" customHeight="1">
      <c r="A728" s="30"/>
      <c r="V728" s="30"/>
    </row>
    <row r="729" spans="1:22" ht="15.75" customHeight="1">
      <c r="A729" s="30"/>
      <c r="V729" s="30"/>
    </row>
    <row r="730" spans="1:22" ht="15.75" customHeight="1">
      <c r="A730" s="30"/>
      <c r="V730" s="30"/>
    </row>
    <row r="731" spans="1:22" ht="15.75" customHeight="1">
      <c r="A731" s="30"/>
      <c r="V731" s="30"/>
    </row>
    <row r="732" spans="1:22" ht="15.75" customHeight="1">
      <c r="A732" s="30"/>
      <c r="V732" s="30"/>
    </row>
    <row r="733" spans="1:22" ht="15.75" customHeight="1">
      <c r="A733" s="30"/>
      <c r="V733" s="30"/>
    </row>
    <row r="734" spans="1:22" ht="15.75" customHeight="1">
      <c r="A734" s="30"/>
      <c r="V734" s="30"/>
    </row>
    <row r="735" spans="1:22" ht="15.75" customHeight="1">
      <c r="A735" s="30"/>
      <c r="V735" s="30"/>
    </row>
    <row r="736" spans="1:22" ht="15.75" customHeight="1">
      <c r="A736" s="30"/>
      <c r="V736" s="30"/>
    </row>
    <row r="737" spans="1:22" ht="15.75" customHeight="1">
      <c r="A737" s="30"/>
      <c r="V737" s="30"/>
    </row>
    <row r="738" spans="1:22" ht="15.75" customHeight="1">
      <c r="A738" s="30"/>
      <c r="V738" s="30"/>
    </row>
    <row r="739" spans="1:22" ht="15.75" customHeight="1">
      <c r="A739" s="30"/>
      <c r="V739" s="30"/>
    </row>
    <row r="740" spans="1:22" ht="15.75" customHeight="1">
      <c r="A740" s="30"/>
      <c r="V740" s="30"/>
    </row>
    <row r="741" spans="1:22" ht="15.75" customHeight="1">
      <c r="A741" s="30"/>
      <c r="V741" s="30"/>
    </row>
    <row r="742" spans="1:22" ht="15.75" customHeight="1">
      <c r="A742" s="30"/>
      <c r="V742" s="30"/>
    </row>
    <row r="743" spans="1:22" ht="15.75" customHeight="1">
      <c r="A743" s="30"/>
      <c r="V743" s="30"/>
    </row>
    <row r="744" spans="1:22" ht="15.75" customHeight="1">
      <c r="A744" s="30"/>
      <c r="V744" s="30"/>
    </row>
    <row r="745" spans="1:22" ht="15.75" customHeight="1">
      <c r="A745" s="30"/>
      <c r="V745" s="30"/>
    </row>
    <row r="746" spans="1:22" ht="15.75" customHeight="1">
      <c r="A746" s="30"/>
      <c r="V746" s="30"/>
    </row>
    <row r="747" spans="1:22" ht="15.75" customHeight="1">
      <c r="A747" s="30"/>
      <c r="V747" s="30"/>
    </row>
    <row r="748" spans="1:22" ht="15.75" customHeight="1">
      <c r="A748" s="30"/>
      <c r="V748" s="30"/>
    </row>
    <row r="749" spans="1:22" ht="15.75" customHeight="1">
      <c r="A749" s="30"/>
      <c r="V749" s="30"/>
    </row>
    <row r="750" spans="1:22" ht="15.75" customHeight="1">
      <c r="A750" s="30"/>
      <c r="V750" s="30"/>
    </row>
    <row r="751" spans="1:22" ht="15.75" customHeight="1">
      <c r="A751" s="30"/>
      <c r="V751" s="30"/>
    </row>
    <row r="752" spans="1:22" ht="15.75" customHeight="1">
      <c r="A752" s="30"/>
      <c r="V752" s="30"/>
    </row>
    <row r="753" spans="1:22" ht="15.75" customHeight="1">
      <c r="A753" s="30"/>
      <c r="V753" s="30"/>
    </row>
    <row r="754" spans="1:22" ht="15.75" customHeight="1">
      <c r="A754" s="30"/>
      <c r="V754" s="30"/>
    </row>
    <row r="755" spans="1:22" ht="15.75" customHeight="1">
      <c r="A755" s="30"/>
      <c r="V755" s="30"/>
    </row>
    <row r="756" spans="1:22" ht="15.75" customHeight="1">
      <c r="A756" s="30"/>
      <c r="V756" s="30"/>
    </row>
    <row r="757" spans="1:22" ht="15.75" customHeight="1">
      <c r="A757" s="30"/>
      <c r="V757" s="30"/>
    </row>
    <row r="758" spans="1:22" ht="15.75" customHeight="1">
      <c r="A758" s="30"/>
      <c r="V758" s="30"/>
    </row>
    <row r="759" spans="1:22" ht="15.75" customHeight="1">
      <c r="A759" s="30"/>
      <c r="V759" s="30"/>
    </row>
    <row r="760" spans="1:22" ht="15.75" customHeight="1">
      <c r="A760" s="30"/>
      <c r="V760" s="30"/>
    </row>
    <row r="761" spans="1:22" ht="15.75" customHeight="1">
      <c r="A761" s="30"/>
      <c r="V761" s="30"/>
    </row>
    <row r="762" spans="1:22" ht="15.75" customHeight="1">
      <c r="A762" s="30"/>
      <c r="V762" s="30"/>
    </row>
    <row r="763" spans="1:22" ht="15.75" customHeight="1">
      <c r="A763" s="30"/>
      <c r="V763" s="30"/>
    </row>
    <row r="764" spans="1:22" ht="15.75" customHeight="1">
      <c r="A764" s="30"/>
      <c r="V764" s="30"/>
    </row>
    <row r="765" spans="1:22" ht="15.75" customHeight="1">
      <c r="A765" s="30"/>
      <c r="V765" s="30"/>
    </row>
    <row r="766" spans="1:22" ht="15.75" customHeight="1">
      <c r="A766" s="30"/>
      <c r="V766" s="30"/>
    </row>
    <row r="767" spans="1:22" ht="15.75" customHeight="1">
      <c r="A767" s="30"/>
      <c r="V767" s="30"/>
    </row>
    <row r="768" spans="1:22" ht="15.75" customHeight="1">
      <c r="A768" s="30"/>
      <c r="V768" s="30"/>
    </row>
    <row r="769" spans="1:22" ht="15.75" customHeight="1">
      <c r="A769" s="30"/>
      <c r="V769" s="30"/>
    </row>
    <row r="770" spans="1:22" ht="15.75" customHeight="1">
      <c r="A770" s="30"/>
      <c r="V770" s="30"/>
    </row>
    <row r="771" spans="1:22" ht="15.75" customHeight="1">
      <c r="A771" s="30"/>
      <c r="V771" s="30"/>
    </row>
    <row r="772" spans="1:22" ht="15.75" customHeight="1">
      <c r="A772" s="30"/>
      <c r="V772" s="30"/>
    </row>
    <row r="773" spans="1:22" ht="15.75" customHeight="1">
      <c r="A773" s="30"/>
      <c r="V773" s="30"/>
    </row>
    <row r="774" spans="1:22" ht="15.75" customHeight="1">
      <c r="A774" s="30"/>
      <c r="V774" s="30"/>
    </row>
    <row r="775" spans="1:22" ht="15.75" customHeight="1">
      <c r="A775" s="30"/>
      <c r="V775" s="30"/>
    </row>
    <row r="776" spans="1:22" ht="15.75" customHeight="1">
      <c r="A776" s="30"/>
      <c r="V776" s="30"/>
    </row>
    <row r="777" spans="1:22" ht="15.75" customHeight="1">
      <c r="A777" s="30"/>
      <c r="V777" s="30"/>
    </row>
    <row r="778" spans="1:22" ht="15.75" customHeight="1">
      <c r="A778" s="30"/>
      <c r="V778" s="30"/>
    </row>
    <row r="779" spans="1:22" ht="15.75" customHeight="1">
      <c r="A779" s="30"/>
      <c r="V779" s="30"/>
    </row>
    <row r="780" spans="1:22" ht="15.75" customHeight="1">
      <c r="A780" s="30"/>
      <c r="V780" s="30"/>
    </row>
    <row r="781" spans="1:22" ht="15.75" customHeight="1">
      <c r="A781" s="30"/>
      <c r="V781" s="30"/>
    </row>
    <row r="782" spans="1:22" ht="15.75" customHeight="1">
      <c r="A782" s="30"/>
      <c r="V782" s="30"/>
    </row>
    <row r="783" spans="1:22" ht="15.75" customHeight="1">
      <c r="A783" s="30"/>
      <c r="V783" s="30"/>
    </row>
    <row r="784" spans="1:22" ht="15.75" customHeight="1">
      <c r="A784" s="30"/>
      <c r="V784" s="30"/>
    </row>
    <row r="785" spans="1:22" ht="15.75" customHeight="1">
      <c r="A785" s="30"/>
      <c r="V785" s="30"/>
    </row>
    <row r="786" spans="1:22" ht="15.75" customHeight="1">
      <c r="A786" s="30"/>
      <c r="V786" s="30"/>
    </row>
    <row r="787" spans="1:22" ht="15.75" customHeight="1">
      <c r="A787" s="30"/>
      <c r="V787" s="30"/>
    </row>
    <row r="788" spans="1:22" ht="15.75" customHeight="1">
      <c r="A788" s="30"/>
      <c r="V788" s="30"/>
    </row>
    <row r="789" spans="1:22" ht="15.75" customHeight="1">
      <c r="A789" s="30"/>
      <c r="V789" s="30"/>
    </row>
    <row r="790" spans="1:22" ht="15.75" customHeight="1">
      <c r="A790" s="30"/>
      <c r="V790" s="30"/>
    </row>
    <row r="791" spans="1:22" ht="15.75" customHeight="1">
      <c r="A791" s="30"/>
      <c r="V791" s="30"/>
    </row>
    <row r="792" spans="1:22" ht="15.75" customHeight="1">
      <c r="A792" s="30"/>
      <c r="V792" s="30"/>
    </row>
    <row r="793" spans="1:22" ht="15.75" customHeight="1">
      <c r="A793" s="30"/>
      <c r="V793" s="30"/>
    </row>
    <row r="794" spans="1:22" ht="15.75" customHeight="1">
      <c r="A794" s="30"/>
      <c r="V794" s="30"/>
    </row>
    <row r="795" spans="1:22" ht="15.75" customHeight="1">
      <c r="A795" s="30"/>
      <c r="V795" s="30"/>
    </row>
    <row r="796" spans="1:22" ht="15.75" customHeight="1">
      <c r="A796" s="30"/>
      <c r="V796" s="30"/>
    </row>
    <row r="797" spans="1:22" ht="15.75" customHeight="1">
      <c r="A797" s="30"/>
      <c r="V797" s="30"/>
    </row>
    <row r="798" spans="1:22" ht="15.75" customHeight="1">
      <c r="A798" s="30"/>
      <c r="V798" s="30"/>
    </row>
    <row r="799" spans="1:22" ht="15.75" customHeight="1">
      <c r="A799" s="30"/>
      <c r="V799" s="30"/>
    </row>
    <row r="800" spans="1:22" ht="15.75" customHeight="1">
      <c r="A800" s="30"/>
      <c r="V800" s="30"/>
    </row>
    <row r="801" spans="1:22" ht="15.75" customHeight="1">
      <c r="A801" s="30"/>
      <c r="V801" s="30"/>
    </row>
    <row r="802" spans="1:22" ht="15.75" customHeight="1">
      <c r="A802" s="30"/>
      <c r="V802" s="30"/>
    </row>
    <row r="803" spans="1:22" ht="15.75" customHeight="1">
      <c r="A803" s="30"/>
      <c r="V803" s="30"/>
    </row>
    <row r="804" spans="1:22" ht="15.75" customHeight="1">
      <c r="A804" s="30"/>
      <c r="V804" s="30"/>
    </row>
    <row r="805" spans="1:22" ht="15.75" customHeight="1">
      <c r="A805" s="30"/>
      <c r="V805" s="30"/>
    </row>
    <row r="806" spans="1:22" ht="15.75" customHeight="1">
      <c r="A806" s="30"/>
      <c r="V806" s="30"/>
    </row>
    <row r="807" spans="1:22" ht="15.75" customHeight="1">
      <c r="A807" s="30"/>
      <c r="V807" s="30"/>
    </row>
    <row r="808" spans="1:22" ht="15.75" customHeight="1">
      <c r="A808" s="30"/>
      <c r="V808" s="30"/>
    </row>
    <row r="809" spans="1:22" ht="15.75" customHeight="1">
      <c r="A809" s="30"/>
      <c r="V809" s="30"/>
    </row>
    <row r="810" spans="1:22" ht="15.75" customHeight="1">
      <c r="A810" s="30"/>
      <c r="V810" s="30"/>
    </row>
    <row r="811" spans="1:22" ht="15.75" customHeight="1">
      <c r="A811" s="30"/>
      <c r="V811" s="30"/>
    </row>
    <row r="812" spans="1:22" ht="15.75" customHeight="1">
      <c r="A812" s="30"/>
      <c r="V812" s="30"/>
    </row>
    <row r="813" spans="1:22" ht="15.75" customHeight="1">
      <c r="A813" s="30"/>
      <c r="V813" s="30"/>
    </row>
    <row r="814" spans="1:22" ht="15.75" customHeight="1">
      <c r="A814" s="30"/>
      <c r="V814" s="30"/>
    </row>
    <row r="815" spans="1:22" ht="15.75" customHeight="1">
      <c r="A815" s="30"/>
      <c r="V815" s="30"/>
    </row>
    <row r="816" spans="1:22" ht="15.75" customHeight="1">
      <c r="A816" s="30"/>
      <c r="V816" s="30"/>
    </row>
    <row r="817" spans="1:22" ht="15.75" customHeight="1">
      <c r="A817" s="30"/>
      <c r="V817" s="30"/>
    </row>
    <row r="818" spans="1:22" ht="15.75" customHeight="1">
      <c r="A818" s="30"/>
      <c r="V818" s="30"/>
    </row>
    <row r="819" spans="1:22" ht="15.75" customHeight="1">
      <c r="A819" s="30"/>
      <c r="V819" s="30"/>
    </row>
    <row r="820" spans="1:22" ht="15.75" customHeight="1">
      <c r="A820" s="30"/>
      <c r="V820" s="30"/>
    </row>
    <row r="821" spans="1:22" ht="15.75" customHeight="1">
      <c r="A821" s="30"/>
      <c r="V821" s="30"/>
    </row>
    <row r="822" spans="1:22" ht="15.75" customHeight="1">
      <c r="A822" s="30"/>
      <c r="V822" s="30"/>
    </row>
    <row r="823" spans="1:22" ht="15.75" customHeight="1">
      <c r="A823" s="30"/>
      <c r="V823" s="30"/>
    </row>
    <row r="824" spans="1:22" ht="15.75" customHeight="1">
      <c r="A824" s="30"/>
      <c r="V824" s="30"/>
    </row>
    <row r="825" spans="1:22" ht="15.75" customHeight="1">
      <c r="A825" s="30"/>
      <c r="V825" s="30"/>
    </row>
    <row r="826" spans="1:22" ht="15.75" customHeight="1">
      <c r="A826" s="30"/>
      <c r="V826" s="30"/>
    </row>
    <row r="827" spans="1:22" ht="15.75" customHeight="1">
      <c r="A827" s="30"/>
      <c r="V827" s="30"/>
    </row>
    <row r="828" spans="1:22" ht="15.75" customHeight="1">
      <c r="A828" s="30"/>
      <c r="V828" s="30"/>
    </row>
    <row r="829" spans="1:22" ht="15.75" customHeight="1">
      <c r="A829" s="30"/>
      <c r="V829" s="30"/>
    </row>
    <row r="830" spans="1:22" ht="15.75" customHeight="1">
      <c r="A830" s="30"/>
      <c r="V830" s="30"/>
    </row>
    <row r="831" spans="1:22" ht="15.75" customHeight="1">
      <c r="A831" s="30"/>
      <c r="V831" s="30"/>
    </row>
    <row r="832" spans="1:22" ht="15.75" customHeight="1">
      <c r="A832" s="30"/>
      <c r="V832" s="30"/>
    </row>
    <row r="833" spans="1:22" ht="15.75" customHeight="1">
      <c r="A833" s="30"/>
      <c r="V833" s="30"/>
    </row>
    <row r="834" spans="1:22" ht="15.75" customHeight="1">
      <c r="A834" s="30"/>
      <c r="V834" s="30"/>
    </row>
    <row r="835" spans="1:22" ht="15.75" customHeight="1">
      <c r="A835" s="30"/>
      <c r="V835" s="30"/>
    </row>
    <row r="836" spans="1:22" ht="15.75" customHeight="1">
      <c r="A836" s="30"/>
      <c r="V836" s="30"/>
    </row>
    <row r="837" spans="1:22" ht="15.75" customHeight="1">
      <c r="A837" s="30"/>
      <c r="V837" s="30"/>
    </row>
    <row r="838" spans="1:22" ht="15.75" customHeight="1">
      <c r="A838" s="30"/>
      <c r="V838" s="30"/>
    </row>
    <row r="839" spans="1:22" ht="15.75" customHeight="1">
      <c r="A839" s="30"/>
      <c r="V839" s="30"/>
    </row>
    <row r="840" spans="1:22" ht="15.75" customHeight="1">
      <c r="A840" s="30"/>
      <c r="V840" s="30"/>
    </row>
    <row r="841" spans="1:22" ht="15.75" customHeight="1">
      <c r="A841" s="30"/>
      <c r="V841" s="30"/>
    </row>
    <row r="842" spans="1:22" ht="15.75" customHeight="1">
      <c r="A842" s="30"/>
      <c r="V842" s="30"/>
    </row>
    <row r="843" spans="1:22" ht="15.75" customHeight="1">
      <c r="A843" s="30"/>
      <c r="V843" s="30"/>
    </row>
    <row r="844" spans="1:22" ht="15.75" customHeight="1">
      <c r="A844" s="30"/>
      <c r="V844" s="30"/>
    </row>
    <row r="845" spans="1:22" ht="15.75" customHeight="1">
      <c r="A845" s="30"/>
      <c r="V845" s="30"/>
    </row>
    <row r="846" spans="1:22" ht="15.75" customHeight="1">
      <c r="A846" s="30"/>
      <c r="V846" s="30"/>
    </row>
    <row r="847" spans="1:22" ht="15.75" customHeight="1">
      <c r="A847" s="30"/>
      <c r="V847" s="30"/>
    </row>
    <row r="848" spans="1:22" ht="15.75" customHeight="1">
      <c r="A848" s="30"/>
      <c r="V848" s="30"/>
    </row>
    <row r="849" spans="1:22" ht="15.75" customHeight="1">
      <c r="A849" s="30"/>
      <c r="V849" s="30"/>
    </row>
    <row r="850" spans="1:22" ht="15.75" customHeight="1">
      <c r="A850" s="30"/>
      <c r="V850" s="30"/>
    </row>
    <row r="851" spans="1:22" ht="15.75" customHeight="1">
      <c r="A851" s="30"/>
      <c r="V851" s="30"/>
    </row>
    <row r="852" spans="1:22" ht="15.75" customHeight="1">
      <c r="A852" s="30"/>
      <c r="V852" s="30"/>
    </row>
    <row r="853" spans="1:22" ht="15.75" customHeight="1">
      <c r="A853" s="30"/>
      <c r="V853" s="30"/>
    </row>
    <row r="854" spans="1:22" ht="15.75" customHeight="1">
      <c r="A854" s="30"/>
      <c r="V854" s="30"/>
    </row>
    <row r="855" spans="1:22" ht="15.75" customHeight="1">
      <c r="A855" s="30"/>
      <c r="V855" s="30"/>
    </row>
    <row r="856" spans="1:22" ht="15.75" customHeight="1">
      <c r="A856" s="30"/>
      <c r="V856" s="30"/>
    </row>
    <row r="857" spans="1:22" ht="15.75" customHeight="1">
      <c r="A857" s="30"/>
      <c r="V857" s="30"/>
    </row>
    <row r="858" spans="1:22" ht="15.75" customHeight="1">
      <c r="A858" s="30"/>
      <c r="V858" s="30"/>
    </row>
    <row r="859" spans="1:22" ht="15.75" customHeight="1">
      <c r="A859" s="30"/>
      <c r="V859" s="30"/>
    </row>
    <row r="860" spans="1:22" ht="15.75" customHeight="1">
      <c r="A860" s="30"/>
      <c r="V860" s="30"/>
    </row>
    <row r="861" spans="1:22" ht="15.75" customHeight="1">
      <c r="A861" s="30"/>
      <c r="V861" s="30"/>
    </row>
    <row r="862" spans="1:22" ht="15.75" customHeight="1">
      <c r="A862" s="30"/>
      <c r="V862" s="30"/>
    </row>
    <row r="863" spans="1:22" ht="15.75" customHeight="1">
      <c r="A863" s="30"/>
      <c r="V863" s="30"/>
    </row>
    <row r="864" spans="1:22" ht="15.75" customHeight="1">
      <c r="A864" s="30"/>
      <c r="V864" s="30"/>
    </row>
    <row r="865" spans="1:22" ht="15.75" customHeight="1">
      <c r="A865" s="30"/>
      <c r="V865" s="30"/>
    </row>
    <row r="866" spans="1:22" ht="15.75" customHeight="1">
      <c r="A866" s="30"/>
      <c r="V866" s="30"/>
    </row>
    <row r="867" spans="1:22" ht="15.75" customHeight="1">
      <c r="A867" s="30"/>
      <c r="V867" s="30"/>
    </row>
    <row r="868" spans="1:22" ht="15.75" customHeight="1">
      <c r="A868" s="30"/>
      <c r="V868" s="30"/>
    </row>
    <row r="869" spans="1:22" ht="15.75" customHeight="1">
      <c r="A869" s="30"/>
      <c r="V869" s="30"/>
    </row>
    <row r="870" spans="1:22" ht="15.75" customHeight="1">
      <c r="A870" s="30"/>
      <c r="V870" s="30"/>
    </row>
    <row r="871" spans="1:22" ht="15.75" customHeight="1">
      <c r="A871" s="30"/>
      <c r="V871" s="30"/>
    </row>
    <row r="872" spans="1:22" ht="15.75" customHeight="1">
      <c r="A872" s="30"/>
      <c r="V872" s="30"/>
    </row>
    <row r="873" spans="1:22" ht="15.75" customHeight="1">
      <c r="A873" s="30"/>
      <c r="V873" s="30"/>
    </row>
    <row r="874" spans="1:22" ht="15.75" customHeight="1">
      <c r="A874" s="30"/>
      <c r="V874" s="30"/>
    </row>
    <row r="875" spans="1:22" ht="15.75" customHeight="1">
      <c r="A875" s="30"/>
      <c r="V875" s="30"/>
    </row>
    <row r="876" spans="1:22" ht="15.75" customHeight="1">
      <c r="A876" s="30"/>
      <c r="V876" s="30"/>
    </row>
    <row r="877" spans="1:22" ht="15.75" customHeight="1">
      <c r="A877" s="30"/>
      <c r="V877" s="30"/>
    </row>
    <row r="878" spans="1:22" ht="15.75" customHeight="1">
      <c r="A878" s="30"/>
      <c r="V878" s="30"/>
    </row>
    <row r="879" spans="1:22" ht="15.75" customHeight="1">
      <c r="A879" s="30"/>
      <c r="V879" s="30"/>
    </row>
    <row r="880" spans="1:22" ht="15.75" customHeight="1">
      <c r="A880" s="30"/>
      <c r="V880" s="30"/>
    </row>
    <row r="881" spans="1:22" ht="15.75" customHeight="1">
      <c r="A881" s="30"/>
      <c r="V881" s="30"/>
    </row>
    <row r="882" spans="1:22" ht="15.75" customHeight="1">
      <c r="A882" s="30"/>
      <c r="V882" s="30"/>
    </row>
    <row r="883" spans="1:22" ht="15.75" customHeight="1">
      <c r="A883" s="30"/>
      <c r="V883" s="30"/>
    </row>
    <row r="884" spans="1:22" ht="15.75" customHeight="1">
      <c r="A884" s="30"/>
      <c r="V884" s="30"/>
    </row>
    <row r="885" spans="1:22" ht="15.75" customHeight="1">
      <c r="A885" s="30"/>
      <c r="V885" s="30"/>
    </row>
    <row r="886" spans="1:22" ht="15.75" customHeight="1">
      <c r="A886" s="30"/>
      <c r="V886" s="30"/>
    </row>
    <row r="887" spans="1:22" ht="15.75" customHeight="1">
      <c r="A887" s="30"/>
      <c r="V887" s="30"/>
    </row>
    <row r="888" spans="1:22" ht="15.75" customHeight="1">
      <c r="A888" s="30"/>
      <c r="V888" s="30"/>
    </row>
    <row r="889" spans="1:22" ht="15.75" customHeight="1">
      <c r="A889" s="30"/>
      <c r="V889" s="30"/>
    </row>
    <row r="890" spans="1:22" ht="15.75" customHeight="1">
      <c r="A890" s="30"/>
      <c r="V890" s="30"/>
    </row>
    <row r="891" spans="1:22" ht="15.75" customHeight="1">
      <c r="A891" s="30"/>
      <c r="V891" s="30"/>
    </row>
    <row r="892" spans="1:22" ht="15.75" customHeight="1">
      <c r="A892" s="30"/>
      <c r="V892" s="30"/>
    </row>
    <row r="893" spans="1:22" ht="15.75" customHeight="1">
      <c r="A893" s="30"/>
      <c r="V893" s="30"/>
    </row>
    <row r="894" spans="1:22" ht="15.75" customHeight="1">
      <c r="A894" s="30"/>
      <c r="V894" s="30"/>
    </row>
    <row r="895" spans="1:22" ht="15.75" customHeight="1">
      <c r="A895" s="30"/>
      <c r="V895" s="30"/>
    </row>
    <row r="896" spans="1:22" ht="15.75" customHeight="1">
      <c r="A896" s="30"/>
      <c r="V896" s="30"/>
    </row>
    <row r="897" spans="1:22" ht="15.75" customHeight="1">
      <c r="A897" s="30"/>
      <c r="V897" s="30"/>
    </row>
    <row r="898" spans="1:22" ht="15.75" customHeight="1">
      <c r="A898" s="30"/>
      <c r="V898" s="30"/>
    </row>
    <row r="899" spans="1:22" ht="15.75" customHeight="1">
      <c r="A899" s="30"/>
      <c r="V899" s="30"/>
    </row>
    <row r="900" spans="1:22" ht="15.75" customHeight="1">
      <c r="A900" s="30"/>
      <c r="V900" s="30"/>
    </row>
    <row r="901" spans="1:22" ht="15.75" customHeight="1">
      <c r="A901" s="30"/>
      <c r="V901" s="30"/>
    </row>
    <row r="902" spans="1:22" ht="15.75" customHeight="1">
      <c r="A902" s="30"/>
      <c r="V902" s="30"/>
    </row>
    <row r="903" spans="1:22" ht="15.75" customHeight="1">
      <c r="A903" s="30"/>
      <c r="V903" s="30"/>
    </row>
    <row r="904" spans="1:22" ht="15.75" customHeight="1">
      <c r="A904" s="30"/>
      <c r="V904" s="30"/>
    </row>
    <row r="905" spans="1:22" ht="15.75" customHeight="1">
      <c r="A905" s="30"/>
      <c r="V905" s="30"/>
    </row>
    <row r="906" spans="1:22" ht="15.75" customHeight="1">
      <c r="A906" s="30"/>
      <c r="V906" s="30"/>
    </row>
    <row r="907" spans="1:22" ht="15.75" customHeight="1">
      <c r="A907" s="30"/>
      <c r="V907" s="30"/>
    </row>
    <row r="908" spans="1:22" ht="15.75" customHeight="1">
      <c r="A908" s="30"/>
      <c r="V908" s="30"/>
    </row>
    <row r="909" spans="1:22" ht="15.75" customHeight="1">
      <c r="A909" s="30"/>
      <c r="V909" s="30"/>
    </row>
    <row r="910" spans="1:22" ht="15.75" customHeight="1">
      <c r="A910" s="30"/>
      <c r="V910" s="30"/>
    </row>
    <row r="911" spans="1:22" ht="15.75" customHeight="1">
      <c r="A911" s="30"/>
      <c r="V911" s="30"/>
    </row>
    <row r="912" spans="1:22" ht="15.75" customHeight="1">
      <c r="A912" s="30"/>
      <c r="V912" s="30"/>
    </row>
    <row r="913" spans="1:22" ht="15.75" customHeight="1">
      <c r="A913" s="30"/>
      <c r="V913" s="30"/>
    </row>
    <row r="914" spans="1:22" ht="15.75" customHeight="1">
      <c r="A914" s="30"/>
      <c r="V914" s="30"/>
    </row>
    <row r="915" spans="1:22" ht="15.75" customHeight="1">
      <c r="A915" s="30"/>
      <c r="V915" s="30"/>
    </row>
    <row r="916" spans="1:22" ht="15.75" customHeight="1">
      <c r="A916" s="30"/>
      <c r="V916" s="30"/>
    </row>
    <row r="917" spans="1:22" ht="15.75" customHeight="1">
      <c r="A917" s="30"/>
      <c r="V917" s="30"/>
    </row>
    <row r="918" spans="1:22" ht="15.75" customHeight="1">
      <c r="A918" s="30"/>
      <c r="V918" s="30"/>
    </row>
    <row r="919" spans="1:22" ht="15.75" customHeight="1">
      <c r="A919" s="30"/>
      <c r="V919" s="30"/>
    </row>
    <row r="920" spans="1:22" ht="15.75" customHeight="1">
      <c r="A920" s="30"/>
      <c r="V920" s="30"/>
    </row>
    <row r="921" spans="1:22" ht="15.75" customHeight="1">
      <c r="A921" s="30"/>
      <c r="V921" s="30"/>
    </row>
    <row r="922" spans="1:22" ht="15.75" customHeight="1">
      <c r="A922" s="30"/>
      <c r="V922" s="30"/>
    </row>
    <row r="923" spans="1:22" ht="15.75" customHeight="1">
      <c r="A923" s="30"/>
      <c r="V923" s="30"/>
    </row>
    <row r="924" spans="1:22" ht="15.75" customHeight="1">
      <c r="A924" s="30"/>
      <c r="V924" s="30"/>
    </row>
    <row r="925" spans="1:22" ht="15.75" customHeight="1">
      <c r="A925" s="30"/>
      <c r="V925" s="30"/>
    </row>
    <row r="926" spans="1:22" ht="15.75" customHeight="1">
      <c r="A926" s="30"/>
      <c r="V926" s="30"/>
    </row>
    <row r="927" spans="1:22" ht="15.75" customHeight="1">
      <c r="A927" s="30"/>
      <c r="V927" s="30"/>
    </row>
    <row r="928" spans="1:22" ht="15.75" customHeight="1">
      <c r="A928" s="30"/>
      <c r="V928" s="30"/>
    </row>
    <row r="929" spans="1:22" ht="15.75" customHeight="1">
      <c r="A929" s="30"/>
      <c r="V929" s="30"/>
    </row>
    <row r="930" spans="1:22" ht="15.75" customHeight="1">
      <c r="A930" s="30"/>
      <c r="V930" s="30"/>
    </row>
    <row r="931" spans="1:22" ht="15.75" customHeight="1">
      <c r="A931" s="30"/>
      <c r="V931" s="30"/>
    </row>
    <row r="932" spans="1:22" ht="15.75" customHeight="1">
      <c r="A932" s="30"/>
      <c r="V932" s="30"/>
    </row>
    <row r="933" spans="1:22" ht="15.75" customHeight="1">
      <c r="A933" s="30"/>
      <c r="V933" s="30"/>
    </row>
    <row r="934" spans="1:22" ht="15.75" customHeight="1">
      <c r="A934" s="30"/>
      <c r="V934" s="30"/>
    </row>
    <row r="935" spans="1:22" ht="15.75" customHeight="1">
      <c r="A935" s="30"/>
      <c r="V935" s="30"/>
    </row>
    <row r="936" spans="1:22" ht="15.75" customHeight="1">
      <c r="A936" s="30"/>
      <c r="V936" s="30"/>
    </row>
    <row r="937" spans="1:22" ht="15.75" customHeight="1">
      <c r="A937" s="30"/>
      <c r="V937" s="30"/>
    </row>
    <row r="938" spans="1:22" ht="15.75" customHeight="1">
      <c r="A938" s="30"/>
      <c r="V938" s="30"/>
    </row>
    <row r="939" spans="1:22" ht="15.75" customHeight="1">
      <c r="A939" s="30"/>
      <c r="V939" s="30"/>
    </row>
    <row r="940" spans="1:22" ht="15.75" customHeight="1">
      <c r="A940" s="30"/>
      <c r="V940" s="30"/>
    </row>
    <row r="941" spans="1:22" ht="15.75" customHeight="1">
      <c r="A941" s="30"/>
      <c r="V941" s="30"/>
    </row>
    <row r="942" spans="1:22" ht="15.75" customHeight="1">
      <c r="A942" s="30"/>
      <c r="V942" s="30"/>
    </row>
    <row r="943" spans="1:22" ht="15.75" customHeight="1">
      <c r="A943" s="30"/>
      <c r="V943" s="30"/>
    </row>
    <row r="944" spans="1:22" ht="15.75" customHeight="1">
      <c r="A944" s="30"/>
      <c r="V944" s="30"/>
    </row>
    <row r="945" spans="1:22" ht="15.75" customHeight="1">
      <c r="A945" s="30"/>
      <c r="V945" s="30"/>
    </row>
    <row r="946" spans="1:22" ht="15.75" customHeight="1">
      <c r="A946" s="30"/>
      <c r="V946" s="30"/>
    </row>
    <row r="947" spans="1:22" ht="15.75" customHeight="1">
      <c r="A947" s="30"/>
      <c r="V947" s="30"/>
    </row>
    <row r="948" spans="1:22" ht="15.75" customHeight="1">
      <c r="A948" s="30"/>
      <c r="V948" s="30"/>
    </row>
    <row r="949" spans="1:22" ht="15.75" customHeight="1">
      <c r="A949" s="30"/>
      <c r="V949" s="30"/>
    </row>
    <row r="950" spans="1:22" ht="15.75" customHeight="1">
      <c r="A950" s="30"/>
      <c r="V950" s="30"/>
    </row>
    <row r="951" spans="1:22" ht="15.75" customHeight="1">
      <c r="A951" s="30"/>
      <c r="V951" s="30"/>
    </row>
    <row r="952" spans="1:22" ht="15.75" customHeight="1">
      <c r="A952" s="30"/>
      <c r="V952" s="30"/>
    </row>
    <row r="953" spans="1:22" ht="15.75" customHeight="1">
      <c r="A953" s="30"/>
      <c r="V953" s="30"/>
    </row>
    <row r="954" spans="1:22" ht="15.75" customHeight="1">
      <c r="A954" s="30"/>
      <c r="V954" s="30"/>
    </row>
    <row r="955" spans="1:22" ht="15.75" customHeight="1">
      <c r="A955" s="30"/>
      <c r="V955" s="30"/>
    </row>
    <row r="956" spans="1:22" ht="15.75" customHeight="1">
      <c r="A956" s="30"/>
      <c r="V956" s="30"/>
    </row>
    <row r="957" spans="1:22" ht="15.75" customHeight="1">
      <c r="A957" s="30"/>
      <c r="V957" s="30"/>
    </row>
    <row r="958" spans="1:22" ht="15.75" customHeight="1">
      <c r="A958" s="30"/>
      <c r="V958" s="30"/>
    </row>
    <row r="959" spans="1:22" ht="15.75" customHeight="1">
      <c r="A959" s="30"/>
      <c r="V959" s="30"/>
    </row>
    <row r="960" spans="1:22" ht="15.75" customHeight="1">
      <c r="A960" s="30"/>
      <c r="V960" s="30"/>
    </row>
    <row r="961" spans="1:22" ht="15.75" customHeight="1">
      <c r="A961" s="30"/>
      <c r="V961" s="30"/>
    </row>
    <row r="962" spans="1:22" ht="15.75" customHeight="1">
      <c r="A962" s="30"/>
      <c r="V962" s="30"/>
    </row>
    <row r="963" spans="1:22" ht="15.75" customHeight="1">
      <c r="A963" s="30"/>
      <c r="V963" s="30"/>
    </row>
    <row r="964" spans="1:22" ht="15.75" customHeight="1">
      <c r="A964" s="30"/>
      <c r="V964" s="30"/>
    </row>
    <row r="965" spans="1:22" ht="15.75" customHeight="1">
      <c r="A965" s="30"/>
      <c r="V965" s="30"/>
    </row>
    <row r="966" spans="1:22" ht="15.75" customHeight="1">
      <c r="A966" s="30"/>
      <c r="V966" s="30"/>
    </row>
    <row r="967" spans="1:22" ht="15.75" customHeight="1">
      <c r="A967" s="30"/>
      <c r="V967" s="30"/>
    </row>
    <row r="968" spans="1:22" ht="15.75" customHeight="1">
      <c r="A968" s="30"/>
      <c r="V968" s="30"/>
    </row>
    <row r="969" spans="1:22" ht="15.75" customHeight="1">
      <c r="A969" s="30"/>
      <c r="V969" s="30"/>
    </row>
    <row r="970" spans="1:22" ht="15.75" customHeight="1">
      <c r="A970" s="30"/>
      <c r="V970" s="30"/>
    </row>
    <row r="971" spans="1:22" ht="15.75" customHeight="1">
      <c r="A971" s="30"/>
      <c r="V971" s="30"/>
    </row>
    <row r="972" spans="1:22" ht="15.75" customHeight="1">
      <c r="A972" s="30"/>
      <c r="V972" s="30"/>
    </row>
    <row r="973" spans="1:22" ht="15.75" customHeight="1">
      <c r="A973" s="30"/>
      <c r="V973" s="30"/>
    </row>
    <row r="974" spans="1:22" ht="15.75" customHeight="1">
      <c r="A974" s="30"/>
      <c r="V974" s="30"/>
    </row>
    <row r="975" spans="1:22" ht="15.75" customHeight="1">
      <c r="A975" s="30"/>
      <c r="V975" s="30"/>
    </row>
    <row r="976" spans="1:22" ht="15.75" customHeight="1">
      <c r="A976" s="30"/>
      <c r="V976" s="30"/>
    </row>
    <row r="977" spans="1:22" ht="15.75" customHeight="1">
      <c r="A977" s="30"/>
      <c r="V977" s="30"/>
    </row>
    <row r="978" spans="1:22" ht="15.75" customHeight="1">
      <c r="A978" s="30"/>
      <c r="V978" s="30"/>
    </row>
    <row r="979" spans="1:22" ht="15.75" customHeight="1">
      <c r="A979" s="30"/>
      <c r="V979" s="30"/>
    </row>
    <row r="980" spans="1:22" ht="15.75" customHeight="1">
      <c r="A980" s="30"/>
      <c r="V980" s="30"/>
    </row>
    <row r="981" spans="1:22" ht="15.75" customHeight="1">
      <c r="A981" s="30"/>
      <c r="V981" s="30"/>
    </row>
    <row r="982" spans="1:22" ht="15.75" customHeight="1">
      <c r="A982" s="30"/>
      <c r="V982" s="30"/>
    </row>
    <row r="983" spans="1:22" ht="15.75" customHeight="1">
      <c r="A983" s="30"/>
      <c r="V983" s="30"/>
    </row>
    <row r="984" spans="1:22" ht="15.75" customHeight="1">
      <c r="A984" s="30"/>
      <c r="V984" s="30"/>
    </row>
    <row r="985" spans="1:22" ht="15.75" customHeight="1">
      <c r="A985" s="30"/>
      <c r="V985" s="30"/>
    </row>
    <row r="986" spans="1:22" ht="15.75" customHeight="1">
      <c r="A986" s="30"/>
      <c r="V986" s="30"/>
    </row>
    <row r="987" spans="1:22" ht="15.75" customHeight="1">
      <c r="A987" s="30"/>
      <c r="V987" s="30"/>
    </row>
    <row r="988" spans="1:22" ht="15.75" customHeight="1">
      <c r="A988" s="30"/>
      <c r="V988" s="30"/>
    </row>
    <row r="989" spans="1:22" ht="15.75" customHeight="1">
      <c r="A989" s="30"/>
      <c r="V989" s="30"/>
    </row>
    <row r="990" spans="1:22" ht="15.75" customHeight="1">
      <c r="A990" s="30"/>
      <c r="V990" s="30"/>
    </row>
    <row r="991" spans="1:22" ht="15.75" customHeight="1">
      <c r="A991" s="30"/>
      <c r="V991" s="30"/>
    </row>
    <row r="992" spans="1:22" ht="15.75" customHeight="1">
      <c r="A992" s="30"/>
      <c r="V992" s="30"/>
    </row>
    <row r="993" spans="1:22" ht="15.75" customHeight="1">
      <c r="A993" s="30"/>
      <c r="V993" s="30"/>
    </row>
    <row r="994" spans="1:22" ht="15.75" customHeight="1">
      <c r="A994" s="30"/>
      <c r="V994" s="30"/>
    </row>
    <row r="995" spans="1:22" ht="15.75" customHeight="1">
      <c r="A995" s="30"/>
      <c r="V995" s="30"/>
    </row>
    <row r="996" spans="1:22" ht="15.75" customHeight="1">
      <c r="A996" s="30"/>
      <c r="V996" s="30"/>
    </row>
    <row r="997" spans="1:22" ht="15.75" customHeight="1">
      <c r="A997" s="30"/>
      <c r="V997" s="30"/>
    </row>
    <row r="998" spans="1:22" ht="15.75" customHeight="1">
      <c r="A998" s="30"/>
      <c r="V998" s="30"/>
    </row>
    <row r="999" spans="1:22" ht="15.75" customHeight="1">
      <c r="A999" s="30"/>
      <c r="V999" s="30"/>
    </row>
    <row r="1000" spans="1:22" ht="15.75" customHeight="1">
      <c r="A1000" s="30"/>
      <c r="V1000" s="30"/>
    </row>
  </sheetData>
  <mergeCells count="35">
    <mergeCell ref="B60:K60"/>
    <mergeCell ref="V60:AB60"/>
    <mergeCell ref="AD59:AJ59"/>
    <mergeCell ref="AD60:AJ60"/>
    <mergeCell ref="N60:T60"/>
    <mergeCell ref="V240:AJ240"/>
    <mergeCell ref="AD242:AJ242"/>
    <mergeCell ref="AD243:AJ243"/>
    <mergeCell ref="V242:AB242"/>
    <mergeCell ref="V243:AB243"/>
    <mergeCell ref="B240:T240"/>
    <mergeCell ref="B242:K242"/>
    <mergeCell ref="N242:T242"/>
    <mergeCell ref="B243:K243"/>
    <mergeCell ref="N243:T243"/>
    <mergeCell ref="AL16:AN16"/>
    <mergeCell ref="AL18:AN18"/>
    <mergeCell ref="AL19:AN19"/>
    <mergeCell ref="AL21:AN21"/>
    <mergeCell ref="N59:T59"/>
    <mergeCell ref="AL22:AN22"/>
    <mergeCell ref="B57:T57"/>
    <mergeCell ref="V57:AJ57"/>
    <mergeCell ref="B59:K59"/>
    <mergeCell ref="V59:AB59"/>
    <mergeCell ref="AL9:AN9"/>
    <mergeCell ref="AL10:AN10"/>
    <mergeCell ref="AL12:AN12"/>
    <mergeCell ref="AL13:AN13"/>
    <mergeCell ref="AL15:AN15"/>
    <mergeCell ref="B1:AJ1"/>
    <mergeCell ref="AL3:AN3"/>
    <mergeCell ref="AL4:AN4"/>
    <mergeCell ref="AL6:AN6"/>
    <mergeCell ref="AL7:AN7"/>
  </mergeCell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Y1000"/>
  <sheetViews>
    <sheetView showGridLines="0" topLeftCell="F1" zoomScale="95" zoomScaleNormal="95" workbookViewId="0">
      <pane ySplit="4" topLeftCell="A5" activePane="bottomLeft" state="frozen"/>
      <selection activeCell="B4" sqref="B4"/>
      <selection pane="bottomLeft" activeCell="L10" sqref="L10"/>
    </sheetView>
  </sheetViews>
  <sheetFormatPr baseColWidth="10" defaultColWidth="10.28515625" defaultRowHeight="15" customHeight="1"/>
  <cols>
    <col min="1" max="1" width="20.42578125" style="65" customWidth="1"/>
    <col min="2" max="2" width="23.85546875" style="65" customWidth="1"/>
    <col min="3" max="3" width="20.42578125" style="65" customWidth="1"/>
    <col min="4" max="4" width="23.140625" style="65" customWidth="1"/>
    <col min="5" max="5" width="21.140625" style="65" customWidth="1"/>
    <col min="6" max="6" width="23.42578125" style="65" customWidth="1"/>
    <col min="7" max="7" width="29.140625" style="65" customWidth="1"/>
    <col min="8" max="8" width="24.7109375" style="65" customWidth="1"/>
    <col min="9" max="9" width="21.28515625" style="65" customWidth="1"/>
    <col min="10" max="10" width="20.7109375" style="65" customWidth="1"/>
    <col min="11" max="11" width="21.140625" style="65" customWidth="1"/>
    <col min="12" max="13" width="17.85546875" style="65" customWidth="1"/>
    <col min="14" max="14" width="17.85546875" style="65" hidden="1" customWidth="1"/>
    <col min="15" max="17" width="17.85546875" style="65" customWidth="1"/>
    <col min="18" max="18" width="16.85546875" style="65" customWidth="1"/>
    <col min="19" max="19" width="22" style="65" customWidth="1"/>
    <col min="20" max="20" width="23.140625" style="65" customWidth="1"/>
    <col min="21" max="21" width="22" style="65" customWidth="1"/>
    <col min="22" max="28" width="24.28515625" style="65" customWidth="1"/>
    <col min="29" max="30" width="22.28515625" style="65" customWidth="1"/>
    <col min="31" max="31" width="21.42578125" style="65" customWidth="1"/>
    <col min="32" max="32" width="21" style="65" customWidth="1"/>
    <col min="33" max="33" width="19.85546875" style="65" customWidth="1"/>
    <col min="34" max="36" width="19.5703125" style="65" customWidth="1"/>
    <col min="37" max="37" width="22.7109375" style="65" customWidth="1"/>
    <col min="38" max="41" width="22.140625" style="65" customWidth="1"/>
    <col min="42" max="42" width="21.7109375" style="65" customWidth="1"/>
    <col min="43" max="43" width="24.42578125" style="65" customWidth="1"/>
    <col min="44" max="44" width="22.7109375" style="65" customWidth="1"/>
    <col min="45" max="45" width="22.42578125" style="65" customWidth="1"/>
    <col min="46" max="46" width="19.140625" style="65" customWidth="1"/>
    <col min="47" max="48" width="22.42578125" style="65" customWidth="1"/>
    <col min="49" max="49" width="36.28515625" style="65" customWidth="1"/>
    <col min="50" max="50" width="19.5703125" style="65" hidden="1" customWidth="1"/>
    <col min="51" max="51" width="39.85546875" style="65" hidden="1" customWidth="1"/>
    <col min="52" max="16384" width="10.28515625" style="65"/>
  </cols>
  <sheetData>
    <row r="1" spans="1:51" ht="41.25" customHeight="1">
      <c r="A1" s="163" t="s">
        <v>27</v>
      </c>
      <c r="B1" s="164"/>
      <c r="C1" s="164"/>
      <c r="D1" s="164"/>
      <c r="E1" s="164"/>
      <c r="F1" s="164"/>
      <c r="G1" s="164"/>
      <c r="H1" s="164"/>
      <c r="I1" s="164"/>
      <c r="J1" s="164"/>
      <c r="K1" s="164"/>
      <c r="L1" s="164"/>
      <c r="M1" s="164"/>
      <c r="N1" s="164"/>
      <c r="O1" s="164"/>
      <c r="P1" s="164"/>
      <c r="Q1" s="164"/>
      <c r="R1" s="165"/>
      <c r="S1" s="163" t="s">
        <v>28</v>
      </c>
      <c r="T1" s="164"/>
      <c r="U1" s="164"/>
      <c r="V1" s="164"/>
      <c r="W1" s="164"/>
      <c r="X1" s="164"/>
      <c r="Y1" s="164"/>
      <c r="Z1" s="164"/>
      <c r="AA1" s="164"/>
      <c r="AB1" s="164"/>
      <c r="AC1" s="166"/>
      <c r="AD1" s="163" t="s">
        <v>29</v>
      </c>
      <c r="AE1" s="164"/>
      <c r="AF1" s="165"/>
      <c r="AG1" s="167" t="s">
        <v>30</v>
      </c>
      <c r="AH1" s="164"/>
      <c r="AI1" s="164"/>
      <c r="AJ1" s="164"/>
      <c r="AK1" s="164"/>
      <c r="AL1" s="164"/>
      <c r="AM1" s="164"/>
      <c r="AN1" s="164"/>
      <c r="AO1" s="164"/>
      <c r="AP1" s="166"/>
      <c r="AQ1" s="167" t="s">
        <v>31</v>
      </c>
      <c r="AR1" s="164"/>
      <c r="AS1" s="164"/>
      <c r="AT1" s="165"/>
      <c r="AU1" s="158" t="s">
        <v>32</v>
      </c>
      <c r="AV1" s="159"/>
      <c r="AW1" s="160"/>
      <c r="AX1" s="64"/>
      <c r="AY1" s="64"/>
    </row>
    <row r="2" spans="1:51" ht="33" customHeight="1">
      <c r="A2" s="66" t="s">
        <v>33</v>
      </c>
      <c r="B2" s="66" t="s">
        <v>34</v>
      </c>
      <c r="C2" s="66" t="s">
        <v>35</v>
      </c>
      <c r="D2" s="66" t="s">
        <v>36</v>
      </c>
      <c r="E2" s="66" t="s">
        <v>37</v>
      </c>
      <c r="F2" s="66" t="s">
        <v>38</v>
      </c>
      <c r="G2" s="66" t="s">
        <v>39</v>
      </c>
      <c r="H2" s="66" t="s">
        <v>40</v>
      </c>
      <c r="I2" s="66" t="s">
        <v>41</v>
      </c>
      <c r="J2" s="66" t="s">
        <v>42</v>
      </c>
      <c r="K2" s="66" t="s">
        <v>43</v>
      </c>
      <c r="L2" s="67" t="s">
        <v>44</v>
      </c>
      <c r="M2" s="68" t="s">
        <v>45</v>
      </c>
      <c r="N2" s="68" t="s">
        <v>46</v>
      </c>
      <c r="O2" s="68" t="s">
        <v>47</v>
      </c>
      <c r="P2" s="68" t="s">
        <v>48</v>
      </c>
      <c r="Q2" s="68" t="s">
        <v>49</v>
      </c>
      <c r="R2" s="69" t="s">
        <v>50</v>
      </c>
      <c r="S2" s="67" t="s">
        <v>51</v>
      </c>
      <c r="T2" s="66" t="s">
        <v>52</v>
      </c>
      <c r="U2" s="66" t="s">
        <v>53</v>
      </c>
      <c r="V2" s="66" t="s">
        <v>54</v>
      </c>
      <c r="W2" s="70" t="s">
        <v>55</v>
      </c>
      <c r="X2" s="70" t="s">
        <v>56</v>
      </c>
      <c r="Y2" s="70" t="s">
        <v>57</v>
      </c>
      <c r="Z2" s="70" t="s">
        <v>58</v>
      </c>
      <c r="AA2" s="70" t="s">
        <v>59</v>
      </c>
      <c r="AB2" s="70" t="s">
        <v>60</v>
      </c>
      <c r="AC2" s="70" t="s">
        <v>61</v>
      </c>
      <c r="AD2" s="71" t="s">
        <v>62</v>
      </c>
      <c r="AE2" s="72" t="s">
        <v>63</v>
      </c>
      <c r="AF2" s="73" t="s">
        <v>64</v>
      </c>
      <c r="AG2" s="71" t="s">
        <v>65</v>
      </c>
      <c r="AH2" s="72" t="s">
        <v>66</v>
      </c>
      <c r="AI2" s="72" t="s">
        <v>67</v>
      </c>
      <c r="AJ2" s="72" t="s">
        <v>68</v>
      </c>
      <c r="AK2" s="72" t="s">
        <v>69</v>
      </c>
      <c r="AL2" s="72" t="s">
        <v>70</v>
      </c>
      <c r="AM2" s="74" t="s">
        <v>71</v>
      </c>
      <c r="AN2" s="74" t="s">
        <v>72</v>
      </c>
      <c r="AO2" s="74" t="s">
        <v>73</v>
      </c>
      <c r="AP2" s="73" t="s">
        <v>74</v>
      </c>
      <c r="AQ2" s="72" t="s">
        <v>75</v>
      </c>
      <c r="AR2" s="72" t="s">
        <v>76</v>
      </c>
      <c r="AS2" s="72" t="s">
        <v>77</v>
      </c>
      <c r="AT2" s="73" t="s">
        <v>78</v>
      </c>
      <c r="AU2" s="75" t="s">
        <v>79</v>
      </c>
      <c r="AV2" s="74" t="s">
        <v>80</v>
      </c>
      <c r="AW2" s="73" t="s">
        <v>81</v>
      </c>
      <c r="AX2" s="76"/>
      <c r="AY2" s="76"/>
    </row>
    <row r="3" spans="1:51" ht="52.5" customHeight="1">
      <c r="A3" s="77" t="s">
        <v>82</v>
      </c>
      <c r="B3" s="77" t="s">
        <v>83</v>
      </c>
      <c r="C3" s="77" t="s">
        <v>84</v>
      </c>
      <c r="D3" s="77" t="s">
        <v>85</v>
      </c>
      <c r="E3" s="77" t="s">
        <v>86</v>
      </c>
      <c r="F3" s="77" t="s">
        <v>87</v>
      </c>
      <c r="G3" s="77" t="s">
        <v>88</v>
      </c>
      <c r="H3" s="77" t="s">
        <v>89</v>
      </c>
      <c r="I3" s="77" t="s">
        <v>90</v>
      </c>
      <c r="J3" s="77" t="s">
        <v>91</v>
      </c>
      <c r="K3" s="78" t="s">
        <v>92</v>
      </c>
      <c r="L3" s="78" t="s">
        <v>93</v>
      </c>
      <c r="M3" s="78" t="s">
        <v>94</v>
      </c>
      <c r="N3" s="78" t="s">
        <v>95</v>
      </c>
      <c r="O3" s="78" t="s">
        <v>96</v>
      </c>
      <c r="P3" s="77" t="s">
        <v>97</v>
      </c>
      <c r="Q3" s="79" t="s">
        <v>98</v>
      </c>
      <c r="R3" s="80" t="s">
        <v>99</v>
      </c>
      <c r="S3" s="81" t="s">
        <v>100</v>
      </c>
      <c r="T3" s="77" t="s">
        <v>101</v>
      </c>
      <c r="U3" s="77" t="s">
        <v>102</v>
      </c>
      <c r="V3" s="77" t="s">
        <v>103</v>
      </c>
      <c r="W3" s="78" t="s">
        <v>104</v>
      </c>
      <c r="X3" s="78" t="s">
        <v>105</v>
      </c>
      <c r="Y3" s="78" t="s">
        <v>106</v>
      </c>
      <c r="Z3" s="78" t="s">
        <v>107</v>
      </c>
      <c r="AA3" s="78" t="s">
        <v>108</v>
      </c>
      <c r="AB3" s="78" t="s">
        <v>109</v>
      </c>
      <c r="AC3" s="82" t="s">
        <v>110</v>
      </c>
      <c r="AD3" s="81" t="s">
        <v>111</v>
      </c>
      <c r="AE3" s="77" t="s">
        <v>112</v>
      </c>
      <c r="AF3" s="82" t="s">
        <v>113</v>
      </c>
      <c r="AG3" s="81" t="s">
        <v>114</v>
      </c>
      <c r="AH3" s="79" t="s">
        <v>115</v>
      </c>
      <c r="AI3" s="79" t="s">
        <v>116</v>
      </c>
      <c r="AJ3" s="81" t="s">
        <v>117</v>
      </c>
      <c r="AK3" s="83" t="s">
        <v>118</v>
      </c>
      <c r="AL3" s="83" t="s">
        <v>119</v>
      </c>
      <c r="AM3" s="84" t="s">
        <v>120</v>
      </c>
      <c r="AN3" s="84" t="s">
        <v>121</v>
      </c>
      <c r="AO3" s="84" t="s">
        <v>122</v>
      </c>
      <c r="AP3" s="85" t="s">
        <v>123</v>
      </c>
      <c r="AQ3" s="86" t="s">
        <v>124</v>
      </c>
      <c r="AR3" s="77" t="s">
        <v>125</v>
      </c>
      <c r="AS3" s="83" t="s">
        <v>126</v>
      </c>
      <c r="AT3" s="85" t="s">
        <v>127</v>
      </c>
      <c r="AU3" s="87" t="s">
        <v>128</v>
      </c>
      <c r="AV3" s="84" t="s">
        <v>129</v>
      </c>
      <c r="AW3" s="85" t="s">
        <v>130</v>
      </c>
      <c r="AX3" s="88"/>
      <c r="AY3" s="88"/>
    </row>
    <row r="4" spans="1:51" ht="48" customHeight="1">
      <c r="A4" s="89" t="s">
        <v>131</v>
      </c>
      <c r="B4" s="89" t="s">
        <v>132</v>
      </c>
      <c r="C4" s="89" t="s">
        <v>133</v>
      </c>
      <c r="D4" s="89" t="s">
        <v>134</v>
      </c>
      <c r="E4" s="89" t="s">
        <v>135</v>
      </c>
      <c r="F4" s="89" t="s">
        <v>136</v>
      </c>
      <c r="G4" s="89" t="s">
        <v>137</v>
      </c>
      <c r="H4" s="89" t="s">
        <v>138</v>
      </c>
      <c r="I4" s="89" t="s">
        <v>139</v>
      </c>
      <c r="J4" s="89" t="s">
        <v>140</v>
      </c>
      <c r="K4" s="90" t="s">
        <v>141</v>
      </c>
      <c r="L4" s="90" t="s">
        <v>142</v>
      </c>
      <c r="M4" s="90" t="s">
        <v>143</v>
      </c>
      <c r="N4" s="90"/>
      <c r="O4" s="90" t="s">
        <v>144</v>
      </c>
      <c r="P4" s="89" t="s">
        <v>145</v>
      </c>
      <c r="Q4" s="91" t="s">
        <v>146</v>
      </c>
      <c r="R4" s="92" t="s">
        <v>147</v>
      </c>
      <c r="S4" s="93" t="s">
        <v>148</v>
      </c>
      <c r="T4" s="89" t="s">
        <v>149</v>
      </c>
      <c r="U4" s="89" t="s">
        <v>150</v>
      </c>
      <c r="V4" s="89" t="s">
        <v>151</v>
      </c>
      <c r="W4" s="90" t="s">
        <v>152</v>
      </c>
      <c r="X4" s="90" t="s">
        <v>153</v>
      </c>
      <c r="Y4" s="90" t="s">
        <v>154</v>
      </c>
      <c r="Z4" s="90" t="s">
        <v>155</v>
      </c>
      <c r="AA4" s="90" t="s">
        <v>156</v>
      </c>
      <c r="AB4" s="90" t="s">
        <v>157</v>
      </c>
      <c r="AC4" s="90" t="s">
        <v>158</v>
      </c>
      <c r="AD4" s="94" t="s">
        <v>159</v>
      </c>
      <c r="AE4" s="89" t="s">
        <v>160</v>
      </c>
      <c r="AF4" s="95" t="s">
        <v>161</v>
      </c>
      <c r="AG4" s="93" t="s">
        <v>162</v>
      </c>
      <c r="AH4" s="91" t="s">
        <v>163</v>
      </c>
      <c r="AI4" s="91" t="s">
        <v>164</v>
      </c>
      <c r="AJ4" s="93" t="s">
        <v>165</v>
      </c>
      <c r="AK4" s="96" t="s">
        <v>166</v>
      </c>
      <c r="AL4" s="96" t="s">
        <v>167</v>
      </c>
      <c r="AM4" s="97" t="s">
        <v>168</v>
      </c>
      <c r="AN4" s="97" t="s">
        <v>169</v>
      </c>
      <c r="AO4" s="97" t="s">
        <v>170</v>
      </c>
      <c r="AP4" s="98" t="s">
        <v>171</v>
      </c>
      <c r="AQ4" s="99" t="s">
        <v>172</v>
      </c>
      <c r="AR4" s="89" t="s">
        <v>173</v>
      </c>
      <c r="AS4" s="96" t="s">
        <v>174</v>
      </c>
      <c r="AT4" s="98" t="s">
        <v>175</v>
      </c>
      <c r="AU4" s="100" t="s">
        <v>163</v>
      </c>
      <c r="AV4" s="96" t="s">
        <v>164</v>
      </c>
      <c r="AW4" s="98" t="s">
        <v>176</v>
      </c>
      <c r="AX4" s="101"/>
      <c r="AY4" s="101"/>
    </row>
    <row r="5" spans="1:51" ht="22" customHeight="1">
      <c r="A5" s="102" t="s">
        <v>177</v>
      </c>
      <c r="B5" s="102" t="s">
        <v>177</v>
      </c>
      <c r="C5" s="102" t="s">
        <v>177</v>
      </c>
      <c r="D5" s="102" t="s">
        <v>195</v>
      </c>
      <c r="E5" s="102" t="s">
        <v>179</v>
      </c>
      <c r="F5" s="102" t="s">
        <v>180</v>
      </c>
      <c r="G5" s="102" t="s">
        <v>181</v>
      </c>
      <c r="H5" s="102" t="s">
        <v>199</v>
      </c>
      <c r="I5" s="102" t="s">
        <v>200</v>
      </c>
      <c r="J5" s="102" t="s">
        <v>201</v>
      </c>
      <c r="K5" s="103">
        <v>33731</v>
      </c>
      <c r="L5" s="63">
        <f t="shared" ref="L5:L259" ca="1" si="0">IF(K5="","",ROUNDDOWN(YEARFRAC(K5, TODAY(), 1), 0))</f>
        <v>33</v>
      </c>
      <c r="M5" s="104" t="s">
        <v>184</v>
      </c>
      <c r="N5" s="105"/>
      <c r="O5" s="104" t="s">
        <v>186</v>
      </c>
      <c r="P5" s="102" t="s">
        <v>177</v>
      </c>
      <c r="Q5" s="102" t="s">
        <v>177</v>
      </c>
      <c r="R5" s="106" t="s">
        <v>177</v>
      </c>
      <c r="S5" s="107" t="s">
        <v>177</v>
      </c>
      <c r="T5" s="102" t="s">
        <v>177</v>
      </c>
      <c r="U5" s="102" t="s">
        <v>177</v>
      </c>
      <c r="V5" s="102" t="s">
        <v>177</v>
      </c>
      <c r="W5" s="102" t="s">
        <v>177</v>
      </c>
      <c r="X5" s="102" t="s">
        <v>177</v>
      </c>
      <c r="Y5" s="102" t="s">
        <v>177</v>
      </c>
      <c r="Z5" s="102" t="s">
        <v>177</v>
      </c>
      <c r="AA5" s="102" t="s">
        <v>177</v>
      </c>
      <c r="AB5" s="105" t="s">
        <v>186</v>
      </c>
      <c r="AC5" s="105" t="s">
        <v>177</v>
      </c>
      <c r="AD5" s="108" t="s">
        <v>177</v>
      </c>
      <c r="AE5" s="102" t="s">
        <v>177</v>
      </c>
      <c r="AF5" s="109" t="s">
        <v>177</v>
      </c>
      <c r="AG5" s="107" t="s">
        <v>177</v>
      </c>
      <c r="AH5" s="110">
        <v>44760</v>
      </c>
      <c r="AI5" s="111" t="s">
        <v>25</v>
      </c>
      <c r="AJ5" s="131">
        <f t="shared" ref="AJ5:AJ259" ca="1" si="1">IF(AL5="Inactive",IF(AU5="", "", ROUNDDOWN(YEARFRAC(AH5, AU5, 1), 0)),IF(AH5="","",ROUNDDOWN(YEARFRAC(AH5, TODAY(), 1), 0)))</f>
        <v>2</v>
      </c>
      <c r="AK5" s="102" t="s">
        <v>187</v>
      </c>
      <c r="AL5" s="102" t="s">
        <v>188</v>
      </c>
      <c r="AM5" s="105" t="s">
        <v>189</v>
      </c>
      <c r="AN5" s="105" t="s">
        <v>190</v>
      </c>
      <c r="AO5" s="105" t="s">
        <v>206</v>
      </c>
      <c r="AP5" s="109" t="s">
        <v>225</v>
      </c>
      <c r="AQ5" s="112" t="s">
        <v>177</v>
      </c>
      <c r="AR5" s="102" t="s">
        <v>306</v>
      </c>
      <c r="AS5" s="102" t="s">
        <v>194</v>
      </c>
      <c r="AT5" s="113" t="s">
        <v>177</v>
      </c>
      <c r="AU5" s="114"/>
      <c r="AV5" s="107"/>
      <c r="AW5" s="109"/>
      <c r="AX5" s="115">
        <f t="shared" ref="AX5:AX259" si="2">YEAR(AH5)</f>
        <v>2022</v>
      </c>
      <c r="AY5" s="115">
        <f t="shared" ref="AY5:AY259" si="3">YEAR(AU5)</f>
        <v>1900</v>
      </c>
    </row>
    <row r="6" spans="1:51" ht="22.5" customHeight="1">
      <c r="A6" s="102" t="s">
        <v>177</v>
      </c>
      <c r="B6" s="102" t="s">
        <v>177</v>
      </c>
      <c r="C6" s="102" t="s">
        <v>177</v>
      </c>
      <c r="D6" s="102" t="s">
        <v>195</v>
      </c>
      <c r="E6" s="102" t="s">
        <v>196</v>
      </c>
      <c r="F6" s="102" t="s">
        <v>197</v>
      </c>
      <c r="G6" s="102" t="s">
        <v>198</v>
      </c>
      <c r="H6" s="102" t="s">
        <v>199</v>
      </c>
      <c r="I6" s="102" t="s">
        <v>200</v>
      </c>
      <c r="J6" s="102" t="s">
        <v>201</v>
      </c>
      <c r="K6" s="103">
        <v>35039</v>
      </c>
      <c r="L6" s="63">
        <f t="shared" ca="1" si="0"/>
        <v>29</v>
      </c>
      <c r="M6" s="104" t="s">
        <v>184</v>
      </c>
      <c r="N6" s="105"/>
      <c r="O6" s="104" t="s">
        <v>186</v>
      </c>
      <c r="P6" s="102" t="s">
        <v>177</v>
      </c>
      <c r="Q6" s="102" t="s">
        <v>177</v>
      </c>
      <c r="R6" s="106" t="s">
        <v>177</v>
      </c>
      <c r="S6" s="107" t="s">
        <v>177</v>
      </c>
      <c r="T6" s="102" t="s">
        <v>177</v>
      </c>
      <c r="U6" s="102" t="s">
        <v>177</v>
      </c>
      <c r="V6" s="102" t="s">
        <v>177</v>
      </c>
      <c r="W6" s="102" t="s">
        <v>177</v>
      </c>
      <c r="X6" s="102" t="s">
        <v>177</v>
      </c>
      <c r="Y6" s="102" t="s">
        <v>177</v>
      </c>
      <c r="Z6" s="102" t="s">
        <v>177</v>
      </c>
      <c r="AA6" s="102" t="s">
        <v>177</v>
      </c>
      <c r="AB6" s="105" t="s">
        <v>186</v>
      </c>
      <c r="AC6" s="105" t="s">
        <v>177</v>
      </c>
      <c r="AD6" s="108" t="s">
        <v>177</v>
      </c>
      <c r="AE6" s="102" t="s">
        <v>177</v>
      </c>
      <c r="AF6" s="109" t="s">
        <v>177</v>
      </c>
      <c r="AG6" s="107" t="s">
        <v>177</v>
      </c>
      <c r="AH6" s="110">
        <v>43357</v>
      </c>
      <c r="AI6" s="111" t="s">
        <v>25</v>
      </c>
      <c r="AJ6" s="131">
        <f t="shared" ca="1" si="1"/>
        <v>6</v>
      </c>
      <c r="AK6" s="102" t="s">
        <v>187</v>
      </c>
      <c r="AL6" s="102" t="s">
        <v>188</v>
      </c>
      <c r="AM6" s="105" t="s">
        <v>204</v>
      </c>
      <c r="AN6" s="105" t="s">
        <v>205</v>
      </c>
      <c r="AO6" s="105" t="s">
        <v>191</v>
      </c>
      <c r="AP6" s="109" t="s">
        <v>192</v>
      </c>
      <c r="AQ6" s="112" t="s">
        <v>177</v>
      </c>
      <c r="AR6" s="102" t="s">
        <v>306</v>
      </c>
      <c r="AS6" s="102" t="s">
        <v>209</v>
      </c>
      <c r="AT6" s="113" t="s">
        <v>177</v>
      </c>
      <c r="AU6" s="114"/>
      <c r="AV6" s="111"/>
      <c r="AW6" s="109"/>
      <c r="AX6" s="115">
        <f t="shared" si="2"/>
        <v>2018</v>
      </c>
      <c r="AY6" s="115">
        <f t="shared" si="3"/>
        <v>1900</v>
      </c>
    </row>
    <row r="7" spans="1:51" ht="22.5" customHeight="1">
      <c r="A7" s="102" t="s">
        <v>177</v>
      </c>
      <c r="B7" s="102" t="s">
        <v>177</v>
      </c>
      <c r="C7" s="102" t="s">
        <v>177</v>
      </c>
      <c r="D7" s="102" t="s">
        <v>195</v>
      </c>
      <c r="E7" s="102" t="s">
        <v>282</v>
      </c>
      <c r="F7" s="102" t="s">
        <v>212</v>
      </c>
      <c r="G7" s="102" t="s">
        <v>213</v>
      </c>
      <c r="H7" s="102" t="s">
        <v>199</v>
      </c>
      <c r="I7" s="102" t="s">
        <v>200</v>
      </c>
      <c r="J7" s="102" t="s">
        <v>201</v>
      </c>
      <c r="K7" s="103">
        <v>35982</v>
      </c>
      <c r="L7" s="63">
        <f ca="1">IF(K7="","",ROUNDDOWN(YEARFRAC(K7, TODAY(), 1), 0))</f>
        <v>26</v>
      </c>
      <c r="M7" s="104" t="s">
        <v>184</v>
      </c>
      <c r="N7" s="105"/>
      <c r="O7" s="104" t="s">
        <v>186</v>
      </c>
      <c r="P7" s="102" t="s">
        <v>177</v>
      </c>
      <c r="Q7" s="102" t="s">
        <v>177</v>
      </c>
      <c r="R7" s="106" t="s">
        <v>177</v>
      </c>
      <c r="S7" s="107" t="s">
        <v>177</v>
      </c>
      <c r="T7" s="102" t="s">
        <v>177</v>
      </c>
      <c r="U7" s="102" t="s">
        <v>177</v>
      </c>
      <c r="V7" s="102" t="s">
        <v>177</v>
      </c>
      <c r="W7" s="102" t="s">
        <v>177</v>
      </c>
      <c r="X7" s="102" t="s">
        <v>177</v>
      </c>
      <c r="Y7" s="102" t="s">
        <v>177</v>
      </c>
      <c r="Z7" s="102" t="s">
        <v>177</v>
      </c>
      <c r="AA7" s="102" t="s">
        <v>177</v>
      </c>
      <c r="AB7" s="105" t="s">
        <v>186</v>
      </c>
      <c r="AC7" s="105" t="s">
        <v>177</v>
      </c>
      <c r="AD7" s="108" t="s">
        <v>177</v>
      </c>
      <c r="AE7" s="102" t="s">
        <v>177</v>
      </c>
      <c r="AF7" s="109" t="s">
        <v>177</v>
      </c>
      <c r="AG7" s="107" t="s">
        <v>177</v>
      </c>
      <c r="AH7" s="110">
        <v>43178</v>
      </c>
      <c r="AI7" s="111" t="s">
        <v>21</v>
      </c>
      <c r="AJ7" s="131">
        <f t="shared" ca="1" si="1"/>
        <v>7</v>
      </c>
      <c r="AK7" s="102" t="s">
        <v>187</v>
      </c>
      <c r="AL7" s="102" t="s">
        <v>188</v>
      </c>
      <c r="AM7" s="105" t="s">
        <v>216</v>
      </c>
      <c r="AN7" s="105" t="s">
        <v>217</v>
      </c>
      <c r="AO7" s="105" t="s">
        <v>191</v>
      </c>
      <c r="AP7" s="109" t="s">
        <v>192</v>
      </c>
      <c r="AQ7" s="112" t="s">
        <v>177</v>
      </c>
      <c r="AR7" s="102" t="s">
        <v>306</v>
      </c>
      <c r="AS7" s="102" t="s">
        <v>287</v>
      </c>
      <c r="AT7" s="113" t="s">
        <v>177</v>
      </c>
      <c r="AU7" s="108"/>
      <c r="AV7" s="107"/>
      <c r="AW7" s="109"/>
      <c r="AX7" s="115">
        <f t="shared" si="2"/>
        <v>2018</v>
      </c>
      <c r="AY7" s="115">
        <f t="shared" si="3"/>
        <v>1900</v>
      </c>
    </row>
    <row r="8" spans="1:51" ht="22.5" customHeight="1">
      <c r="A8" s="102" t="s">
        <v>177</v>
      </c>
      <c r="B8" s="102" t="s">
        <v>177</v>
      </c>
      <c r="C8" s="102" t="s">
        <v>177</v>
      </c>
      <c r="D8" s="102" t="s">
        <v>195</v>
      </c>
      <c r="E8" s="102" t="s">
        <v>220</v>
      </c>
      <c r="F8" s="102" t="s">
        <v>212</v>
      </c>
      <c r="G8" s="102" t="s">
        <v>221</v>
      </c>
      <c r="H8" s="102" t="s">
        <v>199</v>
      </c>
      <c r="I8" s="102" t="s">
        <v>200</v>
      </c>
      <c r="J8" s="102" t="s">
        <v>183</v>
      </c>
      <c r="K8" s="103">
        <v>24645</v>
      </c>
      <c r="L8" s="63">
        <f ca="1">IF(K8="","",ROUNDDOWN(YEARFRAC(K8, TODAY(), 1), 0))</f>
        <v>57</v>
      </c>
      <c r="M8" s="104" t="s">
        <v>184</v>
      </c>
      <c r="N8" s="105"/>
      <c r="O8" s="104" t="s">
        <v>186</v>
      </c>
      <c r="P8" s="102" t="s">
        <v>177</v>
      </c>
      <c r="Q8" s="102" t="s">
        <v>177</v>
      </c>
      <c r="R8" s="106" t="s">
        <v>177</v>
      </c>
      <c r="S8" s="107" t="s">
        <v>177</v>
      </c>
      <c r="T8" s="102" t="s">
        <v>177</v>
      </c>
      <c r="U8" s="102" t="s">
        <v>177</v>
      </c>
      <c r="V8" s="102" t="s">
        <v>177</v>
      </c>
      <c r="W8" s="102" t="s">
        <v>177</v>
      </c>
      <c r="X8" s="102" t="s">
        <v>177</v>
      </c>
      <c r="Y8" s="102" t="s">
        <v>177</v>
      </c>
      <c r="Z8" s="102" t="s">
        <v>177</v>
      </c>
      <c r="AA8" s="102" t="s">
        <v>177</v>
      </c>
      <c r="AB8" s="105" t="s">
        <v>186</v>
      </c>
      <c r="AC8" s="105" t="s">
        <v>177</v>
      </c>
      <c r="AD8" s="108" t="s">
        <v>177</v>
      </c>
      <c r="AE8" s="102" t="s">
        <v>177</v>
      </c>
      <c r="AF8" s="109" t="s">
        <v>177</v>
      </c>
      <c r="AG8" s="107" t="s">
        <v>177</v>
      </c>
      <c r="AH8" s="110">
        <v>43489</v>
      </c>
      <c r="AI8" s="111" t="s">
        <v>21</v>
      </c>
      <c r="AJ8" s="131">
        <f t="shared" ca="1" si="1"/>
        <v>6</v>
      </c>
      <c r="AK8" s="102" t="s">
        <v>187</v>
      </c>
      <c r="AL8" s="102" t="s">
        <v>188</v>
      </c>
      <c r="AM8" s="116" t="s">
        <v>222</v>
      </c>
      <c r="AN8" s="105" t="s">
        <v>190</v>
      </c>
      <c r="AO8" s="105" t="s">
        <v>191</v>
      </c>
      <c r="AP8" s="109" t="s">
        <v>233</v>
      </c>
      <c r="AQ8" s="112" t="s">
        <v>177</v>
      </c>
      <c r="AR8" s="102" t="s">
        <v>306</v>
      </c>
      <c r="AS8" s="102" t="s">
        <v>194</v>
      </c>
      <c r="AT8" s="113" t="s">
        <v>177</v>
      </c>
      <c r="AU8" s="108"/>
      <c r="AV8" s="107"/>
      <c r="AW8" s="109"/>
      <c r="AX8" s="115">
        <f t="shared" si="2"/>
        <v>2019</v>
      </c>
      <c r="AY8" s="115">
        <f t="shared" si="3"/>
        <v>1900</v>
      </c>
    </row>
    <row r="9" spans="1:51" ht="22.5" customHeight="1">
      <c r="A9" s="102" t="s">
        <v>177</v>
      </c>
      <c r="B9" s="102" t="s">
        <v>177</v>
      </c>
      <c r="C9" s="102" t="s">
        <v>177</v>
      </c>
      <c r="D9" s="102" t="s">
        <v>195</v>
      </c>
      <c r="E9" s="102" t="s">
        <v>226</v>
      </c>
      <c r="F9" s="102" t="s">
        <v>212</v>
      </c>
      <c r="G9" s="102" t="s">
        <v>227</v>
      </c>
      <c r="H9" s="102" t="s">
        <v>199</v>
      </c>
      <c r="I9" s="102" t="s">
        <v>200</v>
      </c>
      <c r="J9" s="102" t="s">
        <v>236</v>
      </c>
      <c r="K9" s="103">
        <v>24563</v>
      </c>
      <c r="L9" s="63">
        <f ca="1">IF(K9="","",ROUNDDOWN(YEARFRAC(K9, TODAY(), 1), 0))</f>
        <v>58</v>
      </c>
      <c r="M9" s="104" t="s">
        <v>184</v>
      </c>
      <c r="N9" s="105"/>
      <c r="O9" s="104" t="s">
        <v>186</v>
      </c>
      <c r="P9" s="102" t="s">
        <v>177</v>
      </c>
      <c r="Q9" s="102" t="s">
        <v>177</v>
      </c>
      <c r="R9" s="106" t="s">
        <v>177</v>
      </c>
      <c r="S9" s="107" t="s">
        <v>177</v>
      </c>
      <c r="T9" s="102" t="s">
        <v>177</v>
      </c>
      <c r="U9" s="102" t="s">
        <v>177</v>
      </c>
      <c r="V9" s="102" t="s">
        <v>177</v>
      </c>
      <c r="W9" s="102" t="s">
        <v>177</v>
      </c>
      <c r="X9" s="102" t="s">
        <v>177</v>
      </c>
      <c r="Y9" s="102" t="s">
        <v>177</v>
      </c>
      <c r="Z9" s="102" t="s">
        <v>177</v>
      </c>
      <c r="AA9" s="102" t="s">
        <v>177</v>
      </c>
      <c r="AB9" s="105" t="s">
        <v>186</v>
      </c>
      <c r="AC9" s="105" t="s">
        <v>177</v>
      </c>
      <c r="AD9" s="108" t="s">
        <v>177</v>
      </c>
      <c r="AE9" s="102" t="s">
        <v>177</v>
      </c>
      <c r="AF9" s="109" t="s">
        <v>177</v>
      </c>
      <c r="AG9" s="107" t="s">
        <v>177</v>
      </c>
      <c r="AH9" s="110">
        <v>44713</v>
      </c>
      <c r="AI9" s="111" t="s">
        <v>22</v>
      </c>
      <c r="AJ9" s="131">
        <f t="shared" ca="1" si="1"/>
        <v>2</v>
      </c>
      <c r="AK9" s="102" t="s">
        <v>187</v>
      </c>
      <c r="AL9" s="102" t="s">
        <v>188</v>
      </c>
      <c r="AM9" s="105" t="s">
        <v>230</v>
      </c>
      <c r="AN9" s="105" t="s">
        <v>205</v>
      </c>
      <c r="AO9" s="105" t="s">
        <v>232</v>
      </c>
      <c r="AP9" s="109" t="s">
        <v>207</v>
      </c>
      <c r="AQ9" s="112" t="s">
        <v>177</v>
      </c>
      <c r="AR9" s="102" t="s">
        <v>306</v>
      </c>
      <c r="AS9" s="102" t="s">
        <v>209</v>
      </c>
      <c r="AT9" s="113" t="s">
        <v>177</v>
      </c>
      <c r="AU9" s="108"/>
      <c r="AV9" s="107"/>
      <c r="AW9" s="109"/>
      <c r="AX9" s="115">
        <f t="shared" si="2"/>
        <v>2022</v>
      </c>
      <c r="AY9" s="115">
        <f t="shared" si="3"/>
        <v>1900</v>
      </c>
    </row>
    <row r="10" spans="1:51" ht="22.5" customHeight="1">
      <c r="A10" s="102" t="s">
        <v>177</v>
      </c>
      <c r="B10" s="102" t="s">
        <v>177</v>
      </c>
      <c r="C10" s="102" t="s">
        <v>177</v>
      </c>
      <c r="D10" s="102" t="s">
        <v>195</v>
      </c>
      <c r="E10" s="102" t="s">
        <v>179</v>
      </c>
      <c r="F10" s="102" t="s">
        <v>180</v>
      </c>
      <c r="G10" s="102" t="s">
        <v>234</v>
      </c>
      <c r="H10" s="102" t="s">
        <v>199</v>
      </c>
      <c r="I10" s="102" t="s">
        <v>200</v>
      </c>
      <c r="J10" s="102" t="s">
        <v>183</v>
      </c>
      <c r="K10" s="103">
        <v>23181</v>
      </c>
      <c r="L10" s="63">
        <f ca="1">IF(K10="","",ROUNDDOWN(YEARFRAC(K10, TODAY(), 1), 0))</f>
        <v>61</v>
      </c>
      <c r="M10" s="104" t="s">
        <v>184</v>
      </c>
      <c r="N10" s="105"/>
      <c r="O10" s="104" t="s">
        <v>186</v>
      </c>
      <c r="P10" s="102" t="s">
        <v>177</v>
      </c>
      <c r="Q10" s="102" t="s">
        <v>177</v>
      </c>
      <c r="R10" s="106" t="s">
        <v>177</v>
      </c>
      <c r="S10" s="107" t="s">
        <v>177</v>
      </c>
      <c r="T10" s="102" t="s">
        <v>177</v>
      </c>
      <c r="U10" s="102" t="s">
        <v>177</v>
      </c>
      <c r="V10" s="102" t="s">
        <v>177</v>
      </c>
      <c r="W10" s="102" t="s">
        <v>177</v>
      </c>
      <c r="X10" s="102" t="s">
        <v>177</v>
      </c>
      <c r="Y10" s="102" t="s">
        <v>177</v>
      </c>
      <c r="Z10" s="102" t="s">
        <v>177</v>
      </c>
      <c r="AA10" s="102" t="s">
        <v>177</v>
      </c>
      <c r="AB10" s="105" t="s">
        <v>186</v>
      </c>
      <c r="AC10" s="105" t="s">
        <v>177</v>
      </c>
      <c r="AD10" s="108" t="s">
        <v>177</v>
      </c>
      <c r="AE10" s="102" t="s">
        <v>177</v>
      </c>
      <c r="AF10" s="109" t="s">
        <v>177</v>
      </c>
      <c r="AG10" s="107" t="s">
        <v>177</v>
      </c>
      <c r="AH10" s="110">
        <v>44686</v>
      </c>
      <c r="AI10" s="111" t="s">
        <v>22</v>
      </c>
      <c r="AJ10" s="131">
        <f t="shared" ca="1" si="1"/>
        <v>3</v>
      </c>
      <c r="AK10" s="102" t="s">
        <v>187</v>
      </c>
      <c r="AL10" s="102" t="s">
        <v>188</v>
      </c>
      <c r="AM10" s="105" t="s">
        <v>307</v>
      </c>
      <c r="AN10" s="105" t="s">
        <v>217</v>
      </c>
      <c r="AO10" s="105" t="s">
        <v>191</v>
      </c>
      <c r="AP10" s="109" t="s">
        <v>207</v>
      </c>
      <c r="AQ10" s="112" t="s">
        <v>177</v>
      </c>
      <c r="AR10" s="102" t="s">
        <v>306</v>
      </c>
      <c r="AS10" s="102" t="s">
        <v>287</v>
      </c>
      <c r="AT10" s="113" t="s">
        <v>177</v>
      </c>
      <c r="AU10" s="108"/>
      <c r="AV10" s="107"/>
      <c r="AW10" s="109"/>
      <c r="AX10" s="115">
        <f t="shared" si="2"/>
        <v>2022</v>
      </c>
      <c r="AY10" s="115">
        <f t="shared" si="3"/>
        <v>1900</v>
      </c>
    </row>
    <row r="11" spans="1:51" ht="22.5" customHeight="1">
      <c r="A11" s="102" t="s">
        <v>177</v>
      </c>
      <c r="B11" s="102" t="s">
        <v>177</v>
      </c>
      <c r="C11" s="102" t="s">
        <v>177</v>
      </c>
      <c r="D11" s="102" t="s">
        <v>211</v>
      </c>
      <c r="E11" s="102" t="s">
        <v>196</v>
      </c>
      <c r="F11" s="102" t="s">
        <v>197</v>
      </c>
      <c r="G11" s="102" t="s">
        <v>213</v>
      </c>
      <c r="H11" s="102" t="s">
        <v>214</v>
      </c>
      <c r="I11" s="102" t="s">
        <v>182</v>
      </c>
      <c r="J11" s="102" t="s">
        <v>201</v>
      </c>
      <c r="K11" s="103">
        <v>33879</v>
      </c>
      <c r="L11" s="63">
        <f t="shared" ca="1" si="0"/>
        <v>32</v>
      </c>
      <c r="M11" s="104" t="s">
        <v>184</v>
      </c>
      <c r="N11" s="105"/>
      <c r="O11" s="104" t="s">
        <v>215</v>
      </c>
      <c r="P11" s="102" t="s">
        <v>177</v>
      </c>
      <c r="Q11" s="102" t="s">
        <v>177</v>
      </c>
      <c r="R11" s="106" t="s">
        <v>177</v>
      </c>
      <c r="S11" s="107" t="s">
        <v>177</v>
      </c>
      <c r="T11" s="102" t="s">
        <v>177</v>
      </c>
      <c r="U11" s="102" t="s">
        <v>177</v>
      </c>
      <c r="V11" s="102" t="s">
        <v>177</v>
      </c>
      <c r="W11" s="102" t="s">
        <v>177</v>
      </c>
      <c r="X11" s="102" t="s">
        <v>177</v>
      </c>
      <c r="Y11" s="102" t="s">
        <v>177</v>
      </c>
      <c r="Z11" s="102" t="s">
        <v>177</v>
      </c>
      <c r="AA11" s="102" t="s">
        <v>177</v>
      </c>
      <c r="AB11" s="105" t="s">
        <v>186</v>
      </c>
      <c r="AC11" s="105" t="s">
        <v>177</v>
      </c>
      <c r="AD11" s="108" t="s">
        <v>177</v>
      </c>
      <c r="AE11" s="102" t="s">
        <v>177</v>
      </c>
      <c r="AF11" s="109" t="s">
        <v>177</v>
      </c>
      <c r="AG11" s="107" t="s">
        <v>177</v>
      </c>
      <c r="AH11" s="110">
        <v>44088</v>
      </c>
      <c r="AI11" s="111" t="s">
        <v>25</v>
      </c>
      <c r="AJ11" s="131">
        <f t="shared" ca="1" si="1"/>
        <v>4</v>
      </c>
      <c r="AK11" s="102" t="s">
        <v>187</v>
      </c>
      <c r="AL11" s="102" t="s">
        <v>188</v>
      </c>
      <c r="AM11" s="105" t="s">
        <v>317</v>
      </c>
      <c r="AN11" s="105" t="s">
        <v>190</v>
      </c>
      <c r="AO11" s="105" t="s">
        <v>232</v>
      </c>
      <c r="AP11" s="109" t="s">
        <v>324</v>
      </c>
      <c r="AQ11" s="112" t="s">
        <v>177</v>
      </c>
      <c r="AR11" s="102" t="s">
        <v>306</v>
      </c>
      <c r="AS11" s="102" t="s">
        <v>194</v>
      </c>
      <c r="AT11" s="113" t="s">
        <v>177</v>
      </c>
      <c r="AU11" s="108"/>
      <c r="AV11" s="107"/>
      <c r="AW11" s="109"/>
      <c r="AX11" s="115">
        <f t="shared" si="2"/>
        <v>2020</v>
      </c>
      <c r="AY11" s="115">
        <f t="shared" si="3"/>
        <v>1900</v>
      </c>
    </row>
    <row r="12" spans="1:51" ht="22.5" customHeight="1">
      <c r="A12" s="102" t="s">
        <v>177</v>
      </c>
      <c r="B12" s="102" t="s">
        <v>177</v>
      </c>
      <c r="C12" s="102" t="s">
        <v>177</v>
      </c>
      <c r="D12" s="102" t="s">
        <v>243</v>
      </c>
      <c r="E12" s="102" t="s">
        <v>282</v>
      </c>
      <c r="F12" s="102" t="s">
        <v>212</v>
      </c>
      <c r="G12" s="102" t="s">
        <v>213</v>
      </c>
      <c r="H12" s="102" t="s">
        <v>244</v>
      </c>
      <c r="I12" s="102" t="s">
        <v>182</v>
      </c>
      <c r="J12" s="102" t="s">
        <v>201</v>
      </c>
      <c r="K12" s="103">
        <v>33635</v>
      </c>
      <c r="L12" s="63">
        <f t="shared" ca="1" si="0"/>
        <v>33</v>
      </c>
      <c r="M12" s="104" t="s">
        <v>184</v>
      </c>
      <c r="N12" s="105"/>
      <c r="O12" s="104" t="s">
        <v>245</v>
      </c>
      <c r="P12" s="102" t="s">
        <v>177</v>
      </c>
      <c r="Q12" s="102" t="s">
        <v>177</v>
      </c>
      <c r="R12" s="106" t="s">
        <v>177</v>
      </c>
      <c r="S12" s="107" t="s">
        <v>177</v>
      </c>
      <c r="T12" s="102" t="s">
        <v>177</v>
      </c>
      <c r="U12" s="102" t="s">
        <v>177</v>
      </c>
      <c r="V12" s="102" t="s">
        <v>177</v>
      </c>
      <c r="W12" s="102" t="s">
        <v>177</v>
      </c>
      <c r="X12" s="102" t="s">
        <v>177</v>
      </c>
      <c r="Y12" s="102" t="s">
        <v>177</v>
      </c>
      <c r="Z12" s="102" t="s">
        <v>177</v>
      </c>
      <c r="AA12" s="102" t="s">
        <v>177</v>
      </c>
      <c r="AB12" s="105" t="s">
        <v>186</v>
      </c>
      <c r="AC12" s="105" t="s">
        <v>177</v>
      </c>
      <c r="AD12" s="108" t="s">
        <v>177</v>
      </c>
      <c r="AE12" s="102" t="s">
        <v>177</v>
      </c>
      <c r="AF12" s="109" t="s">
        <v>177</v>
      </c>
      <c r="AG12" s="107" t="s">
        <v>177</v>
      </c>
      <c r="AH12" s="110">
        <v>42296</v>
      </c>
      <c r="AI12" s="111" t="s">
        <v>26</v>
      </c>
      <c r="AJ12" s="131">
        <f t="shared" ca="1" si="1"/>
        <v>9</v>
      </c>
      <c r="AK12" s="102" t="s">
        <v>187</v>
      </c>
      <c r="AL12" s="102" t="s">
        <v>188</v>
      </c>
      <c r="AM12" s="105" t="s">
        <v>323</v>
      </c>
      <c r="AN12" s="105" t="s">
        <v>205</v>
      </c>
      <c r="AO12" s="105" t="s">
        <v>232</v>
      </c>
      <c r="AP12" s="109" t="s">
        <v>318</v>
      </c>
      <c r="AQ12" s="112" t="s">
        <v>177</v>
      </c>
      <c r="AR12" s="102" t="s">
        <v>306</v>
      </c>
      <c r="AS12" s="102" t="s">
        <v>209</v>
      </c>
      <c r="AT12" s="113" t="s">
        <v>177</v>
      </c>
      <c r="AU12" s="114"/>
      <c r="AV12" s="111"/>
      <c r="AW12" s="109"/>
      <c r="AX12" s="115">
        <f t="shared" si="2"/>
        <v>2015</v>
      </c>
      <c r="AY12" s="115">
        <f t="shared" si="3"/>
        <v>1900</v>
      </c>
    </row>
    <row r="13" spans="1:51" ht="22.5" customHeight="1">
      <c r="A13" s="102" t="s">
        <v>177</v>
      </c>
      <c r="B13" s="102" t="s">
        <v>177</v>
      </c>
      <c r="C13" s="102" t="s">
        <v>177</v>
      </c>
      <c r="D13" s="102" t="s">
        <v>178</v>
      </c>
      <c r="E13" s="102" t="s">
        <v>220</v>
      </c>
      <c r="F13" s="102" t="s">
        <v>212</v>
      </c>
      <c r="G13" s="102" t="s">
        <v>181</v>
      </c>
      <c r="H13" s="102" t="s">
        <v>178</v>
      </c>
      <c r="I13" s="102" t="s">
        <v>182</v>
      </c>
      <c r="J13" s="102" t="s">
        <v>201</v>
      </c>
      <c r="K13" s="103">
        <v>33271</v>
      </c>
      <c r="L13" s="63">
        <f t="shared" ca="1" si="0"/>
        <v>34</v>
      </c>
      <c r="M13" s="104" t="s">
        <v>184</v>
      </c>
      <c r="N13" s="105"/>
      <c r="O13" s="104" t="s">
        <v>185</v>
      </c>
      <c r="P13" s="102" t="s">
        <v>177</v>
      </c>
      <c r="Q13" s="102" t="s">
        <v>177</v>
      </c>
      <c r="R13" s="106" t="s">
        <v>177</v>
      </c>
      <c r="S13" s="107" t="s">
        <v>177</v>
      </c>
      <c r="T13" s="102" t="s">
        <v>177</v>
      </c>
      <c r="U13" s="102" t="s">
        <v>177</v>
      </c>
      <c r="V13" s="102" t="s">
        <v>177</v>
      </c>
      <c r="W13" s="102" t="s">
        <v>177</v>
      </c>
      <c r="X13" s="102" t="s">
        <v>177</v>
      </c>
      <c r="Y13" s="102" t="s">
        <v>177</v>
      </c>
      <c r="Z13" s="102" t="s">
        <v>177</v>
      </c>
      <c r="AA13" s="102" t="s">
        <v>177</v>
      </c>
      <c r="AB13" s="105" t="s">
        <v>186</v>
      </c>
      <c r="AC13" s="105" t="s">
        <v>177</v>
      </c>
      <c r="AD13" s="108" t="s">
        <v>177</v>
      </c>
      <c r="AE13" s="102" t="s">
        <v>177</v>
      </c>
      <c r="AF13" s="109" t="s">
        <v>177</v>
      </c>
      <c r="AG13" s="107" t="s">
        <v>177</v>
      </c>
      <c r="AH13" s="110">
        <v>44348</v>
      </c>
      <c r="AI13" s="111" t="s">
        <v>22</v>
      </c>
      <c r="AJ13" s="131">
        <f t="shared" ca="1" si="1"/>
        <v>3</v>
      </c>
      <c r="AK13" s="102" t="s">
        <v>187</v>
      </c>
      <c r="AL13" s="102" t="s">
        <v>188</v>
      </c>
      <c r="AM13" s="116" t="s">
        <v>329</v>
      </c>
      <c r="AN13" s="105" t="s">
        <v>217</v>
      </c>
      <c r="AO13" s="105" t="s">
        <v>206</v>
      </c>
      <c r="AP13" s="109" t="s">
        <v>225</v>
      </c>
      <c r="AQ13" s="112" t="s">
        <v>177</v>
      </c>
      <c r="AR13" s="102" t="s">
        <v>306</v>
      </c>
      <c r="AS13" s="102" t="s">
        <v>287</v>
      </c>
      <c r="AT13" s="113" t="s">
        <v>177</v>
      </c>
      <c r="AU13" s="108"/>
      <c r="AV13" s="107"/>
      <c r="AW13" s="109"/>
      <c r="AX13" s="115">
        <f t="shared" si="2"/>
        <v>2021</v>
      </c>
      <c r="AY13" s="115">
        <f t="shared" si="3"/>
        <v>1900</v>
      </c>
    </row>
    <row r="14" spans="1:51" ht="22.5" customHeight="1">
      <c r="A14" s="102" t="s">
        <v>177</v>
      </c>
      <c r="B14" s="102" t="s">
        <v>177</v>
      </c>
      <c r="C14" s="102" t="s">
        <v>177</v>
      </c>
      <c r="D14" s="102" t="s">
        <v>238</v>
      </c>
      <c r="E14" s="102" t="s">
        <v>226</v>
      </c>
      <c r="F14" s="102" t="s">
        <v>212</v>
      </c>
      <c r="G14" s="102" t="s">
        <v>181</v>
      </c>
      <c r="H14" s="102" t="s">
        <v>239</v>
      </c>
      <c r="I14" s="102" t="s">
        <v>182</v>
      </c>
      <c r="J14" s="102" t="s">
        <v>228</v>
      </c>
      <c r="K14" s="103">
        <v>31468</v>
      </c>
      <c r="L14" s="63">
        <f t="shared" ca="1" si="0"/>
        <v>39</v>
      </c>
      <c r="M14" s="104" t="s">
        <v>184</v>
      </c>
      <c r="N14" s="105"/>
      <c r="O14" s="104" t="s">
        <v>240</v>
      </c>
      <c r="P14" s="102" t="s">
        <v>177</v>
      </c>
      <c r="Q14" s="102" t="s">
        <v>177</v>
      </c>
      <c r="R14" s="106" t="s">
        <v>177</v>
      </c>
      <c r="S14" s="107" t="s">
        <v>177</v>
      </c>
      <c r="T14" s="102" t="s">
        <v>177</v>
      </c>
      <c r="U14" s="102" t="s">
        <v>177</v>
      </c>
      <c r="V14" s="102" t="s">
        <v>177</v>
      </c>
      <c r="W14" s="102" t="s">
        <v>177</v>
      </c>
      <c r="X14" s="102" t="s">
        <v>177</v>
      </c>
      <c r="Y14" s="102" t="s">
        <v>177</v>
      </c>
      <c r="Z14" s="102" t="s">
        <v>177</v>
      </c>
      <c r="AA14" s="102" t="s">
        <v>177</v>
      </c>
      <c r="AB14" s="105" t="s">
        <v>186</v>
      </c>
      <c r="AC14" s="105" t="s">
        <v>177</v>
      </c>
      <c r="AD14" s="108" t="s">
        <v>177</v>
      </c>
      <c r="AE14" s="102" t="s">
        <v>177</v>
      </c>
      <c r="AF14" s="109" t="s">
        <v>177</v>
      </c>
      <c r="AG14" s="107" t="s">
        <v>177</v>
      </c>
      <c r="AH14" s="110">
        <v>44593</v>
      </c>
      <c r="AI14" s="111" t="s">
        <v>21</v>
      </c>
      <c r="AJ14" s="131">
        <f t="shared" ca="1" si="1"/>
        <v>3</v>
      </c>
      <c r="AK14" s="102" t="s">
        <v>187</v>
      </c>
      <c r="AL14" s="102" t="s">
        <v>188</v>
      </c>
      <c r="AM14" s="105" t="s">
        <v>336</v>
      </c>
      <c r="AN14" s="105" t="s">
        <v>190</v>
      </c>
      <c r="AO14" s="105" t="s">
        <v>224</v>
      </c>
      <c r="AP14" s="109" t="s">
        <v>330</v>
      </c>
      <c r="AQ14" s="112" t="s">
        <v>177</v>
      </c>
      <c r="AR14" s="102" t="s">
        <v>306</v>
      </c>
      <c r="AS14" s="102" t="s">
        <v>194</v>
      </c>
      <c r="AT14" s="113" t="s">
        <v>177</v>
      </c>
      <c r="AU14" s="108"/>
      <c r="AV14" s="107"/>
      <c r="AW14" s="109"/>
      <c r="AX14" s="115">
        <f t="shared" si="2"/>
        <v>2022</v>
      </c>
      <c r="AY14" s="115">
        <f t="shared" si="3"/>
        <v>1900</v>
      </c>
    </row>
    <row r="15" spans="1:51" ht="22.5" customHeight="1">
      <c r="A15" s="102" t="s">
        <v>177</v>
      </c>
      <c r="B15" s="102" t="s">
        <v>177</v>
      </c>
      <c r="C15" s="102" t="s">
        <v>177</v>
      </c>
      <c r="D15" s="102" t="s">
        <v>195</v>
      </c>
      <c r="E15" s="102" t="s">
        <v>179</v>
      </c>
      <c r="F15" s="102" t="s">
        <v>180</v>
      </c>
      <c r="G15" s="102" t="s">
        <v>198</v>
      </c>
      <c r="H15" s="102" t="s">
        <v>235</v>
      </c>
      <c r="I15" s="102" t="s">
        <v>182</v>
      </c>
      <c r="J15" s="102" t="s">
        <v>183</v>
      </c>
      <c r="K15" s="103">
        <v>30598</v>
      </c>
      <c r="L15" s="63">
        <f t="shared" ca="1" si="0"/>
        <v>41</v>
      </c>
      <c r="M15" s="104" t="s">
        <v>184</v>
      </c>
      <c r="N15" s="105"/>
      <c r="O15" s="104" t="s">
        <v>237</v>
      </c>
      <c r="P15" s="102" t="s">
        <v>177</v>
      </c>
      <c r="Q15" s="102" t="s">
        <v>177</v>
      </c>
      <c r="R15" s="106" t="s">
        <v>177</v>
      </c>
      <c r="S15" s="107" t="s">
        <v>177</v>
      </c>
      <c r="T15" s="102" t="s">
        <v>177</v>
      </c>
      <c r="U15" s="102" t="s">
        <v>177</v>
      </c>
      <c r="V15" s="102" t="s">
        <v>177</v>
      </c>
      <c r="W15" s="102" t="s">
        <v>177</v>
      </c>
      <c r="X15" s="102" t="s">
        <v>177</v>
      </c>
      <c r="Y15" s="102" t="s">
        <v>177</v>
      </c>
      <c r="Z15" s="102" t="s">
        <v>177</v>
      </c>
      <c r="AA15" s="102" t="s">
        <v>177</v>
      </c>
      <c r="AB15" s="105" t="s">
        <v>186</v>
      </c>
      <c r="AC15" s="105" t="s">
        <v>177</v>
      </c>
      <c r="AD15" s="108" t="s">
        <v>177</v>
      </c>
      <c r="AE15" s="102" t="s">
        <v>177</v>
      </c>
      <c r="AF15" s="109" t="s">
        <v>177</v>
      </c>
      <c r="AG15" s="107" t="s">
        <v>177</v>
      </c>
      <c r="AH15" s="110">
        <v>44114</v>
      </c>
      <c r="AI15" s="111" t="s">
        <v>26</v>
      </c>
      <c r="AJ15" s="131">
        <f t="shared" ca="1" si="1"/>
        <v>4</v>
      </c>
      <c r="AK15" s="102" t="s">
        <v>187</v>
      </c>
      <c r="AL15" s="102" t="s">
        <v>188</v>
      </c>
      <c r="AM15" s="105" t="s">
        <v>189</v>
      </c>
      <c r="AN15" s="105" t="s">
        <v>205</v>
      </c>
      <c r="AO15" s="105" t="s">
        <v>232</v>
      </c>
      <c r="AP15" s="109" t="s">
        <v>337</v>
      </c>
      <c r="AQ15" s="112" t="s">
        <v>177</v>
      </c>
      <c r="AR15" s="102" t="s">
        <v>306</v>
      </c>
      <c r="AS15" s="102" t="s">
        <v>209</v>
      </c>
      <c r="AT15" s="113" t="s">
        <v>177</v>
      </c>
      <c r="AU15" s="108"/>
      <c r="AV15" s="107"/>
      <c r="AW15" s="109"/>
      <c r="AX15" s="115">
        <f t="shared" si="2"/>
        <v>2020</v>
      </c>
      <c r="AY15" s="115">
        <f t="shared" si="3"/>
        <v>1900</v>
      </c>
    </row>
    <row r="16" spans="1:51" ht="22.5" customHeight="1">
      <c r="A16" s="102" t="s">
        <v>177</v>
      </c>
      <c r="B16" s="102" t="s">
        <v>177</v>
      </c>
      <c r="C16" s="102" t="s">
        <v>177</v>
      </c>
      <c r="D16" s="102" t="s">
        <v>450</v>
      </c>
      <c r="E16" s="102" t="s">
        <v>196</v>
      </c>
      <c r="F16" s="102" t="s">
        <v>197</v>
      </c>
      <c r="G16" s="102" t="s">
        <v>221</v>
      </c>
      <c r="H16" s="102" t="s">
        <v>450</v>
      </c>
      <c r="I16" s="102" t="s">
        <v>182</v>
      </c>
      <c r="J16" s="102" t="s">
        <v>201</v>
      </c>
      <c r="K16" s="103">
        <v>35278</v>
      </c>
      <c r="L16" s="63">
        <f t="shared" ca="1" si="0"/>
        <v>28</v>
      </c>
      <c r="M16" s="104" t="s">
        <v>184</v>
      </c>
      <c r="N16" s="105"/>
      <c r="O16" s="104" t="s">
        <v>588</v>
      </c>
      <c r="P16" s="102" t="s">
        <v>177</v>
      </c>
      <c r="Q16" s="102" t="s">
        <v>177</v>
      </c>
      <c r="R16" s="106" t="s">
        <v>177</v>
      </c>
      <c r="S16" s="107" t="s">
        <v>177</v>
      </c>
      <c r="T16" s="102" t="s">
        <v>177</v>
      </c>
      <c r="U16" s="102" t="s">
        <v>177</v>
      </c>
      <c r="V16" s="102" t="s">
        <v>177</v>
      </c>
      <c r="W16" s="102" t="s">
        <v>177</v>
      </c>
      <c r="X16" s="102" t="s">
        <v>177</v>
      </c>
      <c r="Y16" s="102" t="s">
        <v>177</v>
      </c>
      <c r="Z16" s="102" t="s">
        <v>177</v>
      </c>
      <c r="AA16" s="102" t="s">
        <v>177</v>
      </c>
      <c r="AB16" s="105" t="s">
        <v>186</v>
      </c>
      <c r="AC16" s="105" t="s">
        <v>177</v>
      </c>
      <c r="AD16" s="108" t="s">
        <v>177</v>
      </c>
      <c r="AE16" s="102" t="s">
        <v>177</v>
      </c>
      <c r="AF16" s="109" t="s">
        <v>177</v>
      </c>
      <c r="AG16" s="107" t="s">
        <v>177</v>
      </c>
      <c r="AH16" s="110">
        <v>44781</v>
      </c>
      <c r="AI16" s="111" t="s">
        <v>25</v>
      </c>
      <c r="AJ16" s="131">
        <f t="shared" ca="1" si="1"/>
        <v>2</v>
      </c>
      <c r="AK16" s="102" t="s">
        <v>187</v>
      </c>
      <c r="AL16" s="102" t="s">
        <v>188</v>
      </c>
      <c r="AM16" s="105" t="s">
        <v>204</v>
      </c>
      <c r="AN16" s="105" t="s">
        <v>217</v>
      </c>
      <c r="AO16" s="105" t="s">
        <v>259</v>
      </c>
      <c r="AP16" s="109" t="s">
        <v>218</v>
      </c>
      <c r="AQ16" s="112" t="s">
        <v>177</v>
      </c>
      <c r="AR16" s="102" t="s">
        <v>306</v>
      </c>
      <c r="AS16" s="102" t="s">
        <v>287</v>
      </c>
      <c r="AT16" s="113" t="s">
        <v>177</v>
      </c>
      <c r="AU16" s="108"/>
      <c r="AV16" s="107"/>
      <c r="AW16" s="109"/>
      <c r="AX16" s="115">
        <f t="shared" si="2"/>
        <v>2022</v>
      </c>
      <c r="AY16" s="115">
        <f t="shared" si="3"/>
        <v>1900</v>
      </c>
    </row>
    <row r="17" spans="1:51" ht="22.5" customHeight="1">
      <c r="A17" s="102" t="s">
        <v>177</v>
      </c>
      <c r="B17" s="102" t="s">
        <v>177</v>
      </c>
      <c r="C17" s="102" t="s">
        <v>177</v>
      </c>
      <c r="D17" s="102" t="s">
        <v>195</v>
      </c>
      <c r="E17" s="102" t="s">
        <v>282</v>
      </c>
      <c r="F17" s="102" t="s">
        <v>212</v>
      </c>
      <c r="G17" s="102" t="s">
        <v>227</v>
      </c>
      <c r="H17" s="102" t="s">
        <v>199</v>
      </c>
      <c r="I17" s="102" t="s">
        <v>200</v>
      </c>
      <c r="J17" s="102" t="s">
        <v>183</v>
      </c>
      <c r="K17" s="103">
        <v>35969</v>
      </c>
      <c r="L17" s="63">
        <f t="shared" ca="1" si="0"/>
        <v>26</v>
      </c>
      <c r="M17" s="104" t="s">
        <v>184</v>
      </c>
      <c r="N17" s="105"/>
      <c r="O17" s="104" t="s">
        <v>186</v>
      </c>
      <c r="P17" s="102" t="s">
        <v>177</v>
      </c>
      <c r="Q17" s="102" t="s">
        <v>177</v>
      </c>
      <c r="R17" s="106" t="s">
        <v>177</v>
      </c>
      <c r="S17" s="107" t="s">
        <v>177</v>
      </c>
      <c r="T17" s="102" t="s">
        <v>177</v>
      </c>
      <c r="U17" s="102" t="s">
        <v>177</v>
      </c>
      <c r="V17" s="102" t="s">
        <v>177</v>
      </c>
      <c r="W17" s="102" t="s">
        <v>177</v>
      </c>
      <c r="X17" s="102" t="s">
        <v>177</v>
      </c>
      <c r="Y17" s="102" t="s">
        <v>177</v>
      </c>
      <c r="Z17" s="102" t="s">
        <v>177</v>
      </c>
      <c r="AA17" s="102" t="s">
        <v>177</v>
      </c>
      <c r="AB17" s="105" t="s">
        <v>186</v>
      </c>
      <c r="AC17" s="105" t="s">
        <v>177</v>
      </c>
      <c r="AD17" s="108" t="s">
        <v>177</v>
      </c>
      <c r="AE17" s="102" t="s">
        <v>177</v>
      </c>
      <c r="AF17" s="109" t="s">
        <v>177</v>
      </c>
      <c r="AG17" s="107" t="s">
        <v>177</v>
      </c>
      <c r="AH17" s="110">
        <v>43344</v>
      </c>
      <c r="AI17" s="111" t="s">
        <v>25</v>
      </c>
      <c r="AJ17" s="131">
        <f t="shared" ca="1" si="1"/>
        <v>6</v>
      </c>
      <c r="AK17" s="102" t="s">
        <v>202</v>
      </c>
      <c r="AL17" s="102" t="s">
        <v>188</v>
      </c>
      <c r="AM17" s="105" t="s">
        <v>216</v>
      </c>
      <c r="AN17" s="105" t="s">
        <v>190</v>
      </c>
      <c r="AO17" s="105" t="s">
        <v>206</v>
      </c>
      <c r="AP17" s="109" t="s">
        <v>337</v>
      </c>
      <c r="AQ17" s="112" t="s">
        <v>177</v>
      </c>
      <c r="AR17" s="102" t="s">
        <v>306</v>
      </c>
      <c r="AS17" s="102" t="s">
        <v>194</v>
      </c>
      <c r="AT17" s="113" t="s">
        <v>177</v>
      </c>
      <c r="AU17" s="114"/>
      <c r="AV17" s="107"/>
      <c r="AW17" s="109"/>
      <c r="AX17" s="115">
        <f t="shared" si="2"/>
        <v>2018</v>
      </c>
      <c r="AY17" s="115">
        <f t="shared" si="3"/>
        <v>1900</v>
      </c>
    </row>
    <row r="18" spans="1:51" ht="22.5" customHeight="1">
      <c r="A18" s="102" t="s">
        <v>177</v>
      </c>
      <c r="B18" s="102" t="s">
        <v>177</v>
      </c>
      <c r="C18" s="102" t="s">
        <v>177</v>
      </c>
      <c r="D18" s="102" t="s">
        <v>195</v>
      </c>
      <c r="E18" s="102" t="s">
        <v>220</v>
      </c>
      <c r="F18" s="102" t="s">
        <v>212</v>
      </c>
      <c r="G18" s="102" t="s">
        <v>227</v>
      </c>
      <c r="H18" s="102" t="s">
        <v>199</v>
      </c>
      <c r="I18" s="102" t="s">
        <v>200</v>
      </c>
      <c r="J18" s="102" t="s">
        <v>183</v>
      </c>
      <c r="K18" s="103">
        <v>26991</v>
      </c>
      <c r="L18" s="63">
        <f t="shared" ca="1" si="0"/>
        <v>51</v>
      </c>
      <c r="M18" s="104" t="s">
        <v>184</v>
      </c>
      <c r="N18" s="105"/>
      <c r="O18" s="104" t="s">
        <v>186</v>
      </c>
      <c r="P18" s="102" t="s">
        <v>177</v>
      </c>
      <c r="Q18" s="102" t="s">
        <v>177</v>
      </c>
      <c r="R18" s="106" t="s">
        <v>177</v>
      </c>
      <c r="S18" s="107" t="s">
        <v>177</v>
      </c>
      <c r="T18" s="102" t="s">
        <v>177</v>
      </c>
      <c r="U18" s="102" t="s">
        <v>177</v>
      </c>
      <c r="V18" s="102" t="s">
        <v>177</v>
      </c>
      <c r="W18" s="102" t="s">
        <v>177</v>
      </c>
      <c r="X18" s="102" t="s">
        <v>177</v>
      </c>
      <c r="Y18" s="102" t="s">
        <v>177</v>
      </c>
      <c r="Z18" s="102" t="s">
        <v>177</v>
      </c>
      <c r="AA18" s="102" t="s">
        <v>177</v>
      </c>
      <c r="AB18" s="105" t="s">
        <v>186</v>
      </c>
      <c r="AC18" s="105" t="s">
        <v>177</v>
      </c>
      <c r="AD18" s="108" t="s">
        <v>177</v>
      </c>
      <c r="AE18" s="102" t="s">
        <v>177</v>
      </c>
      <c r="AF18" s="109" t="s">
        <v>177</v>
      </c>
      <c r="AG18" s="107" t="s">
        <v>177</v>
      </c>
      <c r="AH18" s="110">
        <v>44822</v>
      </c>
      <c r="AI18" s="111" t="s">
        <v>25</v>
      </c>
      <c r="AJ18" s="131">
        <f t="shared" ca="1" si="1"/>
        <v>2</v>
      </c>
      <c r="AK18" s="102" t="s">
        <v>187</v>
      </c>
      <c r="AL18" s="102" t="s">
        <v>188</v>
      </c>
      <c r="AM18" s="116" t="s">
        <v>222</v>
      </c>
      <c r="AN18" s="105" t="s">
        <v>205</v>
      </c>
      <c r="AO18" s="105" t="s">
        <v>232</v>
      </c>
      <c r="AP18" s="109" t="s">
        <v>218</v>
      </c>
      <c r="AQ18" s="112" t="s">
        <v>177</v>
      </c>
      <c r="AR18" s="102" t="s">
        <v>306</v>
      </c>
      <c r="AS18" s="102" t="s">
        <v>209</v>
      </c>
      <c r="AT18" s="113" t="s">
        <v>177</v>
      </c>
      <c r="AU18" s="108"/>
      <c r="AV18" s="107"/>
      <c r="AW18" s="109"/>
      <c r="AX18" s="115">
        <f t="shared" si="2"/>
        <v>2022</v>
      </c>
      <c r="AY18" s="115">
        <f t="shared" si="3"/>
        <v>1900</v>
      </c>
    </row>
    <row r="19" spans="1:51" ht="22.5" customHeight="1">
      <c r="A19" s="102" t="s">
        <v>177</v>
      </c>
      <c r="B19" s="102" t="s">
        <v>177</v>
      </c>
      <c r="C19" s="102" t="s">
        <v>177</v>
      </c>
      <c r="D19" s="102" t="s">
        <v>195</v>
      </c>
      <c r="E19" s="102" t="s">
        <v>226</v>
      </c>
      <c r="F19" s="102" t="s">
        <v>212</v>
      </c>
      <c r="G19" s="102" t="s">
        <v>181</v>
      </c>
      <c r="H19" s="102" t="s">
        <v>199</v>
      </c>
      <c r="I19" s="102" t="s">
        <v>200</v>
      </c>
      <c r="J19" s="102" t="s">
        <v>228</v>
      </c>
      <c r="K19" s="103">
        <v>32866</v>
      </c>
      <c r="L19" s="63">
        <f t="shared" ca="1" si="0"/>
        <v>35</v>
      </c>
      <c r="M19" s="104" t="s">
        <v>184</v>
      </c>
      <c r="N19" s="105"/>
      <c r="O19" s="104" t="s">
        <v>186</v>
      </c>
      <c r="P19" s="102" t="s">
        <v>177</v>
      </c>
      <c r="Q19" s="102" t="s">
        <v>177</v>
      </c>
      <c r="R19" s="106" t="s">
        <v>177</v>
      </c>
      <c r="S19" s="107" t="s">
        <v>177</v>
      </c>
      <c r="T19" s="102" t="s">
        <v>177</v>
      </c>
      <c r="U19" s="102" t="s">
        <v>177</v>
      </c>
      <c r="V19" s="102" t="s">
        <v>177</v>
      </c>
      <c r="W19" s="102" t="s">
        <v>177</v>
      </c>
      <c r="X19" s="102" t="s">
        <v>177</v>
      </c>
      <c r="Y19" s="102" t="s">
        <v>177</v>
      </c>
      <c r="Z19" s="102" t="s">
        <v>177</v>
      </c>
      <c r="AA19" s="102" t="s">
        <v>177</v>
      </c>
      <c r="AB19" s="105" t="s">
        <v>186</v>
      </c>
      <c r="AC19" s="105" t="s">
        <v>177</v>
      </c>
      <c r="AD19" s="108" t="s">
        <v>177</v>
      </c>
      <c r="AE19" s="102" t="s">
        <v>177</v>
      </c>
      <c r="AF19" s="109" t="s">
        <v>177</v>
      </c>
      <c r="AG19" s="107" t="s">
        <v>177</v>
      </c>
      <c r="AH19" s="110">
        <v>44621</v>
      </c>
      <c r="AI19" s="111" t="s">
        <v>21</v>
      </c>
      <c r="AJ19" s="131">
        <f t="shared" ca="1" si="1"/>
        <v>3</v>
      </c>
      <c r="AK19" s="102" t="s">
        <v>202</v>
      </c>
      <c r="AL19" s="102" t="s">
        <v>188</v>
      </c>
      <c r="AM19" s="105" t="s">
        <v>230</v>
      </c>
      <c r="AN19" s="105" t="s">
        <v>217</v>
      </c>
      <c r="AO19" s="105" t="s">
        <v>206</v>
      </c>
      <c r="AP19" s="109" t="s">
        <v>308</v>
      </c>
      <c r="AQ19" s="112" t="s">
        <v>177</v>
      </c>
      <c r="AR19" s="102" t="s">
        <v>306</v>
      </c>
      <c r="AS19" s="102" t="s">
        <v>287</v>
      </c>
      <c r="AT19" s="113" t="s">
        <v>177</v>
      </c>
      <c r="AU19" s="108"/>
      <c r="AV19" s="107"/>
      <c r="AW19" s="109"/>
      <c r="AX19" s="115">
        <f t="shared" si="2"/>
        <v>2022</v>
      </c>
      <c r="AY19" s="115">
        <f t="shared" si="3"/>
        <v>1900</v>
      </c>
    </row>
    <row r="20" spans="1:51" ht="22.5" customHeight="1">
      <c r="A20" s="102" t="s">
        <v>177</v>
      </c>
      <c r="B20" s="102" t="s">
        <v>177</v>
      </c>
      <c r="C20" s="102" t="s">
        <v>177</v>
      </c>
      <c r="D20" s="102" t="s">
        <v>241</v>
      </c>
      <c r="E20" s="102" t="s">
        <v>179</v>
      </c>
      <c r="F20" s="102" t="s">
        <v>180</v>
      </c>
      <c r="G20" s="102" t="s">
        <v>198</v>
      </c>
      <c r="H20" s="102" t="s">
        <v>241</v>
      </c>
      <c r="I20" s="102" t="s">
        <v>182</v>
      </c>
      <c r="J20" s="102" t="s">
        <v>201</v>
      </c>
      <c r="K20" s="103">
        <v>32885</v>
      </c>
      <c r="L20" s="63">
        <f t="shared" ca="1" si="0"/>
        <v>35</v>
      </c>
      <c r="M20" s="104" t="s">
        <v>184</v>
      </c>
      <c r="N20" s="105"/>
      <c r="O20" s="104" t="s">
        <v>242</v>
      </c>
      <c r="P20" s="102" t="s">
        <v>177</v>
      </c>
      <c r="Q20" s="102" t="s">
        <v>177</v>
      </c>
      <c r="R20" s="106" t="s">
        <v>177</v>
      </c>
      <c r="S20" s="107" t="s">
        <v>177</v>
      </c>
      <c r="T20" s="102" t="s">
        <v>177</v>
      </c>
      <c r="U20" s="102" t="s">
        <v>177</v>
      </c>
      <c r="V20" s="102" t="s">
        <v>177</v>
      </c>
      <c r="W20" s="102" t="s">
        <v>177</v>
      </c>
      <c r="X20" s="102" t="s">
        <v>177</v>
      </c>
      <c r="Y20" s="102" t="s">
        <v>177</v>
      </c>
      <c r="Z20" s="102" t="s">
        <v>177</v>
      </c>
      <c r="AA20" s="102" t="s">
        <v>177</v>
      </c>
      <c r="AB20" s="105" t="s">
        <v>186</v>
      </c>
      <c r="AC20" s="105" t="s">
        <v>177</v>
      </c>
      <c r="AD20" s="108" t="s">
        <v>177</v>
      </c>
      <c r="AE20" s="102" t="s">
        <v>177</v>
      </c>
      <c r="AF20" s="109" t="s">
        <v>177</v>
      </c>
      <c r="AG20" s="107" t="s">
        <v>177</v>
      </c>
      <c r="AH20" s="110">
        <v>44760</v>
      </c>
      <c r="AI20" s="111" t="s">
        <v>25</v>
      </c>
      <c r="AJ20" s="131">
        <f t="shared" ca="1" si="1"/>
        <v>2</v>
      </c>
      <c r="AK20" s="102" t="s">
        <v>187</v>
      </c>
      <c r="AL20" s="102" t="s">
        <v>188</v>
      </c>
      <c r="AM20" s="105" t="s">
        <v>307</v>
      </c>
      <c r="AN20" s="105" t="s">
        <v>190</v>
      </c>
      <c r="AO20" s="105" t="s">
        <v>259</v>
      </c>
      <c r="AP20" s="109" t="s">
        <v>330</v>
      </c>
      <c r="AQ20" s="112" t="s">
        <v>177</v>
      </c>
      <c r="AR20" s="102" t="s">
        <v>306</v>
      </c>
      <c r="AS20" s="102" t="s">
        <v>194</v>
      </c>
      <c r="AT20" s="113" t="s">
        <v>177</v>
      </c>
      <c r="AU20" s="114"/>
      <c r="AV20" s="111"/>
      <c r="AW20" s="109"/>
      <c r="AX20" s="115">
        <f t="shared" si="2"/>
        <v>2022</v>
      </c>
      <c r="AY20" s="115">
        <f t="shared" si="3"/>
        <v>1900</v>
      </c>
    </row>
    <row r="21" spans="1:51" ht="22.5" customHeight="1">
      <c r="A21" s="102" t="s">
        <v>177</v>
      </c>
      <c r="B21" s="102" t="s">
        <v>177</v>
      </c>
      <c r="C21" s="102" t="s">
        <v>177</v>
      </c>
      <c r="D21" s="102" t="s">
        <v>211</v>
      </c>
      <c r="E21" s="102" t="s">
        <v>226</v>
      </c>
      <c r="F21" s="102" t="s">
        <v>212</v>
      </c>
      <c r="G21" s="102" t="s">
        <v>213</v>
      </c>
      <c r="H21" s="102" t="s">
        <v>261</v>
      </c>
      <c r="I21" s="102" t="s">
        <v>182</v>
      </c>
      <c r="J21" s="102" t="s">
        <v>183</v>
      </c>
      <c r="K21" s="103">
        <v>32598</v>
      </c>
      <c r="L21" s="63">
        <f t="shared" ca="1" si="0"/>
        <v>36</v>
      </c>
      <c r="M21" s="104" t="s">
        <v>184</v>
      </c>
      <c r="N21" s="105"/>
      <c r="O21" s="104" t="s">
        <v>262</v>
      </c>
      <c r="P21" s="102" t="s">
        <v>177</v>
      </c>
      <c r="Q21" s="102" t="s">
        <v>177</v>
      </c>
      <c r="R21" s="106" t="s">
        <v>177</v>
      </c>
      <c r="S21" s="107" t="s">
        <v>177</v>
      </c>
      <c r="T21" s="102" t="s">
        <v>177</v>
      </c>
      <c r="U21" s="102" t="s">
        <v>177</v>
      </c>
      <c r="V21" s="102" t="s">
        <v>177</v>
      </c>
      <c r="W21" s="102" t="s">
        <v>177</v>
      </c>
      <c r="X21" s="102" t="s">
        <v>177</v>
      </c>
      <c r="Y21" s="102" t="s">
        <v>177</v>
      </c>
      <c r="Z21" s="102" t="s">
        <v>177</v>
      </c>
      <c r="AA21" s="102" t="s">
        <v>177</v>
      </c>
      <c r="AB21" s="105" t="s">
        <v>186</v>
      </c>
      <c r="AC21" s="109" t="s">
        <v>177</v>
      </c>
      <c r="AD21" s="107" t="s">
        <v>177</v>
      </c>
      <c r="AE21" s="102" t="s">
        <v>177</v>
      </c>
      <c r="AF21" s="109" t="s">
        <v>177</v>
      </c>
      <c r="AG21" s="107" t="s">
        <v>177</v>
      </c>
      <c r="AH21" s="110">
        <v>43357</v>
      </c>
      <c r="AI21" s="111" t="s">
        <v>25</v>
      </c>
      <c r="AJ21" s="131">
        <f t="shared" ca="1" si="1"/>
        <v>6</v>
      </c>
      <c r="AK21" s="102" t="s">
        <v>187</v>
      </c>
      <c r="AL21" s="102" t="s">
        <v>188</v>
      </c>
      <c r="AM21" s="105" t="s">
        <v>317</v>
      </c>
      <c r="AN21" s="105" t="s">
        <v>205</v>
      </c>
      <c r="AO21" s="105" t="s">
        <v>206</v>
      </c>
      <c r="AP21" s="109" t="s">
        <v>308</v>
      </c>
      <c r="AQ21" s="112" t="s">
        <v>177</v>
      </c>
      <c r="AR21" s="102" t="s">
        <v>306</v>
      </c>
      <c r="AS21" s="102" t="s">
        <v>209</v>
      </c>
      <c r="AT21" s="113" t="s">
        <v>177</v>
      </c>
      <c r="AU21" s="114"/>
      <c r="AV21" s="111"/>
      <c r="AW21" s="109"/>
      <c r="AX21" s="115">
        <f t="shared" si="2"/>
        <v>2018</v>
      </c>
      <c r="AY21" s="115">
        <f t="shared" si="3"/>
        <v>1900</v>
      </c>
    </row>
    <row r="22" spans="1:51" ht="22.5" customHeight="1">
      <c r="A22" s="102" t="s">
        <v>177</v>
      </c>
      <c r="B22" s="102" t="s">
        <v>177</v>
      </c>
      <c r="C22" s="102" t="s">
        <v>177</v>
      </c>
      <c r="D22" s="102" t="s">
        <v>243</v>
      </c>
      <c r="E22" s="102" t="s">
        <v>179</v>
      </c>
      <c r="F22" s="102" t="s">
        <v>180</v>
      </c>
      <c r="G22" s="102" t="s">
        <v>234</v>
      </c>
      <c r="H22" s="102" t="s">
        <v>243</v>
      </c>
      <c r="I22" s="102" t="s">
        <v>182</v>
      </c>
      <c r="J22" s="102" t="s">
        <v>201</v>
      </c>
      <c r="K22" s="103">
        <v>32958</v>
      </c>
      <c r="L22" s="63">
        <f t="shared" ca="1" si="0"/>
        <v>35</v>
      </c>
      <c r="M22" s="104" t="s">
        <v>184</v>
      </c>
      <c r="N22" s="105"/>
      <c r="O22" s="104" t="s">
        <v>741</v>
      </c>
      <c r="P22" s="102" t="s">
        <v>177</v>
      </c>
      <c r="Q22" s="102" t="s">
        <v>177</v>
      </c>
      <c r="R22" s="106" t="s">
        <v>177</v>
      </c>
      <c r="S22" s="107" t="s">
        <v>177</v>
      </c>
      <c r="T22" s="102" t="s">
        <v>177</v>
      </c>
      <c r="U22" s="102" t="s">
        <v>177</v>
      </c>
      <c r="V22" s="102" t="s">
        <v>177</v>
      </c>
      <c r="W22" s="102" t="s">
        <v>177</v>
      </c>
      <c r="X22" s="102" t="s">
        <v>177</v>
      </c>
      <c r="Y22" s="102" t="s">
        <v>177</v>
      </c>
      <c r="Z22" s="102" t="s">
        <v>177</v>
      </c>
      <c r="AA22" s="102" t="s">
        <v>177</v>
      </c>
      <c r="AB22" s="105" t="s">
        <v>186</v>
      </c>
      <c r="AC22" s="109" t="s">
        <v>177</v>
      </c>
      <c r="AD22" s="107" t="s">
        <v>177</v>
      </c>
      <c r="AE22" s="102" t="s">
        <v>177</v>
      </c>
      <c r="AF22" s="109" t="s">
        <v>177</v>
      </c>
      <c r="AG22" s="107" t="s">
        <v>177</v>
      </c>
      <c r="AH22" s="110">
        <v>43178</v>
      </c>
      <c r="AI22" s="111" t="s">
        <v>21</v>
      </c>
      <c r="AJ22" s="131">
        <f t="shared" ca="1" si="1"/>
        <v>7</v>
      </c>
      <c r="AK22" s="102" t="s">
        <v>187</v>
      </c>
      <c r="AL22" s="102" t="s">
        <v>188</v>
      </c>
      <c r="AM22" s="105" t="s">
        <v>323</v>
      </c>
      <c r="AN22" s="105" t="s">
        <v>217</v>
      </c>
      <c r="AO22" s="105" t="s">
        <v>224</v>
      </c>
      <c r="AP22" s="109" t="s">
        <v>207</v>
      </c>
      <c r="AQ22" s="112" t="s">
        <v>177</v>
      </c>
      <c r="AR22" s="102" t="s">
        <v>306</v>
      </c>
      <c r="AS22" s="102" t="s">
        <v>287</v>
      </c>
      <c r="AT22" s="113" t="s">
        <v>177</v>
      </c>
      <c r="AU22" s="108"/>
      <c r="AV22" s="107"/>
      <c r="AW22" s="109"/>
      <c r="AX22" s="115">
        <f t="shared" si="2"/>
        <v>2018</v>
      </c>
      <c r="AY22" s="115">
        <f t="shared" si="3"/>
        <v>1900</v>
      </c>
    </row>
    <row r="23" spans="1:51" ht="22.5" customHeight="1">
      <c r="A23" s="102" t="s">
        <v>177</v>
      </c>
      <c r="B23" s="102" t="s">
        <v>177</v>
      </c>
      <c r="C23" s="102" t="s">
        <v>177</v>
      </c>
      <c r="D23" s="102" t="s">
        <v>178</v>
      </c>
      <c r="E23" s="102" t="s">
        <v>220</v>
      </c>
      <c r="F23" s="102" t="s">
        <v>212</v>
      </c>
      <c r="G23" s="102" t="s">
        <v>234</v>
      </c>
      <c r="H23" s="102" t="s">
        <v>178</v>
      </c>
      <c r="I23" s="102" t="s">
        <v>182</v>
      </c>
      <c r="J23" s="102" t="s">
        <v>183</v>
      </c>
      <c r="K23" s="103">
        <v>33658</v>
      </c>
      <c r="L23" s="63">
        <f t="shared" ca="1" si="0"/>
        <v>33</v>
      </c>
      <c r="M23" s="104" t="s">
        <v>184</v>
      </c>
      <c r="N23" s="105"/>
      <c r="O23" s="104" t="s">
        <v>185</v>
      </c>
      <c r="P23" s="102" t="s">
        <v>177</v>
      </c>
      <c r="Q23" s="102" t="s">
        <v>177</v>
      </c>
      <c r="R23" s="106" t="s">
        <v>177</v>
      </c>
      <c r="S23" s="107" t="s">
        <v>177</v>
      </c>
      <c r="T23" s="102" t="s">
        <v>177</v>
      </c>
      <c r="U23" s="102" t="s">
        <v>177</v>
      </c>
      <c r="V23" s="102" t="s">
        <v>177</v>
      </c>
      <c r="W23" s="102" t="s">
        <v>177</v>
      </c>
      <c r="X23" s="102" t="s">
        <v>177</v>
      </c>
      <c r="Y23" s="102" t="s">
        <v>177</v>
      </c>
      <c r="Z23" s="102" t="s">
        <v>177</v>
      </c>
      <c r="AA23" s="102" t="s">
        <v>177</v>
      </c>
      <c r="AB23" s="105" t="s">
        <v>186</v>
      </c>
      <c r="AC23" s="105" t="s">
        <v>177</v>
      </c>
      <c r="AD23" s="108" t="s">
        <v>177</v>
      </c>
      <c r="AE23" s="102" t="s">
        <v>177</v>
      </c>
      <c r="AF23" s="109" t="s">
        <v>177</v>
      </c>
      <c r="AG23" s="107" t="s">
        <v>177</v>
      </c>
      <c r="AH23" s="110">
        <v>43489</v>
      </c>
      <c r="AI23" s="111" t="s">
        <v>21</v>
      </c>
      <c r="AJ23" s="131">
        <f t="shared" ca="1" si="1"/>
        <v>6</v>
      </c>
      <c r="AK23" s="102" t="s">
        <v>187</v>
      </c>
      <c r="AL23" s="102" t="s">
        <v>188</v>
      </c>
      <c r="AM23" s="116" t="s">
        <v>329</v>
      </c>
      <c r="AN23" s="105" t="s">
        <v>190</v>
      </c>
      <c r="AO23" s="105" t="s">
        <v>206</v>
      </c>
      <c r="AP23" s="109" t="s">
        <v>218</v>
      </c>
      <c r="AQ23" s="112" t="s">
        <v>177</v>
      </c>
      <c r="AR23" s="102" t="s">
        <v>306</v>
      </c>
      <c r="AS23" s="102" t="s">
        <v>194</v>
      </c>
      <c r="AT23" s="113" t="s">
        <v>177</v>
      </c>
      <c r="AU23" s="114"/>
      <c r="AV23" s="107"/>
      <c r="AW23" s="109"/>
      <c r="AX23" s="115">
        <f t="shared" si="2"/>
        <v>2019</v>
      </c>
      <c r="AY23" s="115">
        <f t="shared" si="3"/>
        <v>1900</v>
      </c>
    </row>
    <row r="24" spans="1:51" ht="22.5" customHeight="1">
      <c r="A24" s="102" t="s">
        <v>177</v>
      </c>
      <c r="B24" s="102" t="s">
        <v>177</v>
      </c>
      <c r="C24" s="102" t="s">
        <v>177</v>
      </c>
      <c r="D24" s="102" t="s">
        <v>250</v>
      </c>
      <c r="E24" s="102" t="s">
        <v>196</v>
      </c>
      <c r="F24" s="102" t="s">
        <v>197</v>
      </c>
      <c r="G24" s="102" t="s">
        <v>181</v>
      </c>
      <c r="H24" s="102" t="s">
        <v>251</v>
      </c>
      <c r="I24" s="102" t="s">
        <v>182</v>
      </c>
      <c r="J24" s="102" t="s">
        <v>236</v>
      </c>
      <c r="K24" s="103">
        <v>23200</v>
      </c>
      <c r="L24" s="63">
        <f t="shared" ca="1" si="0"/>
        <v>61</v>
      </c>
      <c r="M24" s="104" t="s">
        <v>184</v>
      </c>
      <c r="N24" s="105"/>
      <c r="O24" s="104" t="s">
        <v>252</v>
      </c>
      <c r="P24" s="102" t="s">
        <v>177</v>
      </c>
      <c r="Q24" s="102" t="s">
        <v>177</v>
      </c>
      <c r="R24" s="106" t="s">
        <v>177</v>
      </c>
      <c r="S24" s="107" t="s">
        <v>177</v>
      </c>
      <c r="T24" s="102" t="s">
        <v>177</v>
      </c>
      <c r="U24" s="102" t="s">
        <v>177</v>
      </c>
      <c r="V24" s="102" t="s">
        <v>177</v>
      </c>
      <c r="W24" s="102" t="s">
        <v>177</v>
      </c>
      <c r="X24" s="102" t="s">
        <v>177</v>
      </c>
      <c r="Y24" s="102" t="s">
        <v>177</v>
      </c>
      <c r="Z24" s="102" t="s">
        <v>177</v>
      </c>
      <c r="AA24" s="102" t="s">
        <v>177</v>
      </c>
      <c r="AB24" s="105" t="s">
        <v>186</v>
      </c>
      <c r="AC24" s="105" t="s">
        <v>177</v>
      </c>
      <c r="AD24" s="108" t="s">
        <v>177</v>
      </c>
      <c r="AE24" s="102" t="s">
        <v>177</v>
      </c>
      <c r="AF24" s="109" t="s">
        <v>177</v>
      </c>
      <c r="AG24" s="107" t="s">
        <v>177</v>
      </c>
      <c r="AH24" s="110">
        <v>44713</v>
      </c>
      <c r="AI24" s="111" t="s">
        <v>22</v>
      </c>
      <c r="AJ24" s="131">
        <f t="shared" ca="1" si="1"/>
        <v>2</v>
      </c>
      <c r="AK24" s="102" t="s">
        <v>202</v>
      </c>
      <c r="AL24" s="102" t="s">
        <v>188</v>
      </c>
      <c r="AM24" s="105" t="s">
        <v>336</v>
      </c>
      <c r="AN24" s="105" t="s">
        <v>205</v>
      </c>
      <c r="AO24" s="105" t="s">
        <v>206</v>
      </c>
      <c r="AP24" s="109" t="s">
        <v>225</v>
      </c>
      <c r="AQ24" s="112" t="s">
        <v>177</v>
      </c>
      <c r="AR24" s="102" t="s">
        <v>306</v>
      </c>
      <c r="AS24" s="102" t="s">
        <v>209</v>
      </c>
      <c r="AT24" s="113" t="s">
        <v>177</v>
      </c>
      <c r="AU24" s="114"/>
      <c r="AV24" s="107"/>
      <c r="AW24" s="109"/>
      <c r="AX24" s="115">
        <f t="shared" si="2"/>
        <v>2022</v>
      </c>
      <c r="AY24" s="115">
        <f t="shared" si="3"/>
        <v>1900</v>
      </c>
    </row>
    <row r="25" spans="1:51" ht="22.5" customHeight="1">
      <c r="A25" s="102" t="s">
        <v>177</v>
      </c>
      <c r="B25" s="102" t="s">
        <v>177</v>
      </c>
      <c r="C25" s="102" t="s">
        <v>177</v>
      </c>
      <c r="D25" s="102" t="s">
        <v>195</v>
      </c>
      <c r="E25" s="102" t="s">
        <v>196</v>
      </c>
      <c r="F25" s="102" t="s">
        <v>197</v>
      </c>
      <c r="G25" s="102" t="s">
        <v>221</v>
      </c>
      <c r="H25" s="102" t="s">
        <v>199</v>
      </c>
      <c r="I25" s="102" t="s">
        <v>200</v>
      </c>
      <c r="J25" s="102" t="s">
        <v>228</v>
      </c>
      <c r="K25" s="103">
        <v>25805</v>
      </c>
      <c r="L25" s="63">
        <f t="shared" ca="1" si="0"/>
        <v>54</v>
      </c>
      <c r="M25" s="104" t="s">
        <v>184</v>
      </c>
      <c r="N25" s="105"/>
      <c r="O25" s="104" t="s">
        <v>186</v>
      </c>
      <c r="P25" s="102" t="s">
        <v>177</v>
      </c>
      <c r="Q25" s="102" t="s">
        <v>177</v>
      </c>
      <c r="R25" s="106" t="s">
        <v>177</v>
      </c>
      <c r="S25" s="107" t="s">
        <v>177</v>
      </c>
      <c r="T25" s="102" t="s">
        <v>177</v>
      </c>
      <c r="U25" s="102" t="s">
        <v>177</v>
      </c>
      <c r="V25" s="102" t="s">
        <v>177</v>
      </c>
      <c r="W25" s="102" t="s">
        <v>177</v>
      </c>
      <c r="X25" s="102" t="s">
        <v>177</v>
      </c>
      <c r="Y25" s="102" t="s">
        <v>177</v>
      </c>
      <c r="Z25" s="102" t="s">
        <v>177</v>
      </c>
      <c r="AA25" s="102" t="s">
        <v>177</v>
      </c>
      <c r="AB25" s="105" t="s">
        <v>186</v>
      </c>
      <c r="AC25" s="105" t="s">
        <v>177</v>
      </c>
      <c r="AD25" s="108" t="s">
        <v>177</v>
      </c>
      <c r="AE25" s="102" t="s">
        <v>177</v>
      </c>
      <c r="AF25" s="109" t="s">
        <v>177</v>
      </c>
      <c r="AG25" s="107" t="s">
        <v>177</v>
      </c>
      <c r="AH25" s="110">
        <v>44686</v>
      </c>
      <c r="AI25" s="111" t="s">
        <v>22</v>
      </c>
      <c r="AJ25" s="131">
        <f t="shared" ca="1" si="1"/>
        <v>3</v>
      </c>
      <c r="AK25" s="102" t="s">
        <v>202</v>
      </c>
      <c r="AL25" s="102" t="s">
        <v>188</v>
      </c>
      <c r="AM25" s="105" t="s">
        <v>189</v>
      </c>
      <c r="AN25" s="105" t="s">
        <v>217</v>
      </c>
      <c r="AO25" s="105" t="s">
        <v>206</v>
      </c>
      <c r="AP25" s="109" t="s">
        <v>330</v>
      </c>
      <c r="AQ25" s="112" t="s">
        <v>177</v>
      </c>
      <c r="AR25" s="102" t="s">
        <v>306</v>
      </c>
      <c r="AS25" s="102" t="s">
        <v>287</v>
      </c>
      <c r="AT25" s="113" t="s">
        <v>177</v>
      </c>
      <c r="AU25" s="108"/>
      <c r="AV25" s="107"/>
      <c r="AW25" s="109"/>
      <c r="AX25" s="115">
        <f t="shared" si="2"/>
        <v>2022</v>
      </c>
      <c r="AY25" s="115">
        <f t="shared" si="3"/>
        <v>1900</v>
      </c>
    </row>
    <row r="26" spans="1:51" ht="22.5" customHeight="1">
      <c r="A26" s="102" t="s">
        <v>177</v>
      </c>
      <c r="B26" s="102" t="s">
        <v>177</v>
      </c>
      <c r="C26" s="102" t="s">
        <v>177</v>
      </c>
      <c r="D26" s="102" t="s">
        <v>195</v>
      </c>
      <c r="E26" s="102" t="s">
        <v>196</v>
      </c>
      <c r="F26" s="102" t="s">
        <v>197</v>
      </c>
      <c r="G26" s="102" t="s">
        <v>198</v>
      </c>
      <c r="H26" s="102" t="s">
        <v>199</v>
      </c>
      <c r="I26" s="102" t="s">
        <v>200</v>
      </c>
      <c r="J26" s="102" t="s">
        <v>228</v>
      </c>
      <c r="K26" s="103">
        <v>26924</v>
      </c>
      <c r="L26" s="63">
        <f t="shared" ca="1" si="0"/>
        <v>51</v>
      </c>
      <c r="M26" s="104" t="s">
        <v>184</v>
      </c>
      <c r="N26" s="105"/>
      <c r="O26" s="104" t="s">
        <v>186</v>
      </c>
      <c r="P26" s="102" t="s">
        <v>177</v>
      </c>
      <c r="Q26" s="102" t="s">
        <v>177</v>
      </c>
      <c r="R26" s="106" t="s">
        <v>177</v>
      </c>
      <c r="S26" s="107" t="s">
        <v>177</v>
      </c>
      <c r="T26" s="102" t="s">
        <v>177</v>
      </c>
      <c r="U26" s="102" t="s">
        <v>177</v>
      </c>
      <c r="V26" s="102" t="s">
        <v>177</v>
      </c>
      <c r="W26" s="102" t="s">
        <v>177</v>
      </c>
      <c r="X26" s="102" t="s">
        <v>177</v>
      </c>
      <c r="Y26" s="102" t="s">
        <v>177</v>
      </c>
      <c r="Z26" s="102" t="s">
        <v>177</v>
      </c>
      <c r="AA26" s="102" t="s">
        <v>177</v>
      </c>
      <c r="AB26" s="105" t="s">
        <v>186</v>
      </c>
      <c r="AC26" s="109" t="s">
        <v>177</v>
      </c>
      <c r="AD26" s="107" t="s">
        <v>177</v>
      </c>
      <c r="AE26" s="102" t="s">
        <v>177</v>
      </c>
      <c r="AF26" s="109" t="s">
        <v>177</v>
      </c>
      <c r="AG26" s="107" t="s">
        <v>177</v>
      </c>
      <c r="AH26" s="110">
        <v>44088</v>
      </c>
      <c r="AI26" s="111" t="s">
        <v>25</v>
      </c>
      <c r="AJ26" s="131">
        <f t="shared" ca="1" si="1"/>
        <v>1</v>
      </c>
      <c r="AK26" s="102" t="s">
        <v>187</v>
      </c>
      <c r="AL26" s="102" t="s">
        <v>203</v>
      </c>
      <c r="AM26" s="105" t="s">
        <v>204</v>
      </c>
      <c r="AN26" s="105" t="s">
        <v>190</v>
      </c>
      <c r="AO26" s="105" t="s">
        <v>224</v>
      </c>
      <c r="AP26" s="109" t="s">
        <v>345</v>
      </c>
      <c r="AQ26" s="112" t="s">
        <v>177</v>
      </c>
      <c r="AR26" s="102" t="s">
        <v>306</v>
      </c>
      <c r="AS26" s="102" t="s">
        <v>194</v>
      </c>
      <c r="AT26" s="113" t="s">
        <v>177</v>
      </c>
      <c r="AU26" s="114">
        <v>44593</v>
      </c>
      <c r="AV26" s="107" t="s">
        <v>21</v>
      </c>
      <c r="AW26" s="109" t="s">
        <v>210</v>
      </c>
      <c r="AX26" s="115">
        <f t="shared" si="2"/>
        <v>2020</v>
      </c>
      <c r="AY26" s="115">
        <f t="shared" si="3"/>
        <v>2022</v>
      </c>
    </row>
    <row r="27" spans="1:51" ht="22.5" customHeight="1">
      <c r="A27" s="102" t="s">
        <v>177</v>
      </c>
      <c r="B27" s="102" t="s">
        <v>177</v>
      </c>
      <c r="C27" s="102" t="s">
        <v>177</v>
      </c>
      <c r="D27" s="102" t="s">
        <v>195</v>
      </c>
      <c r="E27" s="102" t="s">
        <v>282</v>
      </c>
      <c r="F27" s="102" t="s">
        <v>212</v>
      </c>
      <c r="G27" s="102" t="s">
        <v>234</v>
      </c>
      <c r="H27" s="102" t="s">
        <v>199</v>
      </c>
      <c r="I27" s="102" t="s">
        <v>200</v>
      </c>
      <c r="J27" s="102" t="s">
        <v>201</v>
      </c>
      <c r="K27" s="103">
        <v>36817</v>
      </c>
      <c r="L27" s="63">
        <f t="shared" ca="1" si="0"/>
        <v>24</v>
      </c>
      <c r="M27" s="104" t="s">
        <v>184</v>
      </c>
      <c r="N27" s="105"/>
      <c r="O27" s="104" t="s">
        <v>186</v>
      </c>
      <c r="P27" s="102" t="s">
        <v>177</v>
      </c>
      <c r="Q27" s="102" t="s">
        <v>177</v>
      </c>
      <c r="R27" s="106" t="s">
        <v>177</v>
      </c>
      <c r="S27" s="107" t="s">
        <v>177</v>
      </c>
      <c r="T27" s="102" t="s">
        <v>177</v>
      </c>
      <c r="U27" s="102" t="s">
        <v>177</v>
      </c>
      <c r="V27" s="102" t="s">
        <v>177</v>
      </c>
      <c r="W27" s="102" t="s">
        <v>177</v>
      </c>
      <c r="X27" s="102" t="s">
        <v>177</v>
      </c>
      <c r="Y27" s="102" t="s">
        <v>177</v>
      </c>
      <c r="Z27" s="102" t="s">
        <v>177</v>
      </c>
      <c r="AA27" s="102" t="s">
        <v>177</v>
      </c>
      <c r="AB27" s="105" t="s">
        <v>186</v>
      </c>
      <c r="AC27" s="109" t="s">
        <v>177</v>
      </c>
      <c r="AD27" s="107" t="s">
        <v>177</v>
      </c>
      <c r="AE27" s="102" t="s">
        <v>177</v>
      </c>
      <c r="AF27" s="109" t="s">
        <v>177</v>
      </c>
      <c r="AG27" s="107" t="s">
        <v>177</v>
      </c>
      <c r="AH27" s="110">
        <v>44072</v>
      </c>
      <c r="AI27" s="111" t="s">
        <v>25</v>
      </c>
      <c r="AJ27" s="131">
        <f t="shared" ca="1" si="1"/>
        <v>1</v>
      </c>
      <c r="AK27" s="102" t="s">
        <v>187</v>
      </c>
      <c r="AL27" s="102" t="s">
        <v>203</v>
      </c>
      <c r="AM27" s="105" t="s">
        <v>216</v>
      </c>
      <c r="AN27" s="105" t="s">
        <v>205</v>
      </c>
      <c r="AO27" s="105" t="s">
        <v>206</v>
      </c>
      <c r="AP27" s="109" t="s">
        <v>345</v>
      </c>
      <c r="AQ27" s="112" t="s">
        <v>177</v>
      </c>
      <c r="AR27" s="102" t="s">
        <v>306</v>
      </c>
      <c r="AS27" s="102" t="s">
        <v>209</v>
      </c>
      <c r="AT27" s="113" t="s">
        <v>177</v>
      </c>
      <c r="AU27" s="114">
        <v>44621</v>
      </c>
      <c r="AV27" s="107" t="s">
        <v>21</v>
      </c>
      <c r="AW27" s="109" t="s">
        <v>210</v>
      </c>
      <c r="AX27" s="115">
        <f t="shared" si="2"/>
        <v>2020</v>
      </c>
      <c r="AY27" s="115">
        <f t="shared" si="3"/>
        <v>2022</v>
      </c>
    </row>
    <row r="28" spans="1:51" ht="22.5" customHeight="1">
      <c r="A28" s="102" t="s">
        <v>177</v>
      </c>
      <c r="B28" s="102" t="s">
        <v>177</v>
      </c>
      <c r="C28" s="102" t="s">
        <v>177</v>
      </c>
      <c r="D28" s="102" t="s">
        <v>195</v>
      </c>
      <c r="E28" s="102" t="s">
        <v>220</v>
      </c>
      <c r="F28" s="102" t="s">
        <v>212</v>
      </c>
      <c r="G28" s="102" t="s">
        <v>227</v>
      </c>
      <c r="H28" s="102" t="s">
        <v>199</v>
      </c>
      <c r="I28" s="102" t="s">
        <v>200</v>
      </c>
      <c r="J28" s="102" t="s">
        <v>228</v>
      </c>
      <c r="K28" s="103">
        <v>33703</v>
      </c>
      <c r="L28" s="63">
        <f t="shared" ca="1" si="0"/>
        <v>33</v>
      </c>
      <c r="M28" s="104" t="s">
        <v>184</v>
      </c>
      <c r="N28" s="105"/>
      <c r="O28" s="104" t="s">
        <v>186</v>
      </c>
      <c r="P28" s="102" t="s">
        <v>177</v>
      </c>
      <c r="Q28" s="102" t="s">
        <v>177</v>
      </c>
      <c r="R28" s="106" t="s">
        <v>177</v>
      </c>
      <c r="S28" s="107" t="s">
        <v>177</v>
      </c>
      <c r="T28" s="102" t="s">
        <v>177</v>
      </c>
      <c r="U28" s="102" t="s">
        <v>177</v>
      </c>
      <c r="V28" s="102" t="s">
        <v>177</v>
      </c>
      <c r="W28" s="102" t="s">
        <v>177</v>
      </c>
      <c r="X28" s="102" t="s">
        <v>177</v>
      </c>
      <c r="Y28" s="102" t="s">
        <v>177</v>
      </c>
      <c r="Z28" s="102" t="s">
        <v>177</v>
      </c>
      <c r="AA28" s="102" t="s">
        <v>177</v>
      </c>
      <c r="AB28" s="105" t="s">
        <v>186</v>
      </c>
      <c r="AC28" s="109" t="s">
        <v>177</v>
      </c>
      <c r="AD28" s="107" t="s">
        <v>177</v>
      </c>
      <c r="AE28" s="102" t="s">
        <v>177</v>
      </c>
      <c r="AF28" s="109" t="s">
        <v>177</v>
      </c>
      <c r="AG28" s="107" t="s">
        <v>177</v>
      </c>
      <c r="AH28" s="110">
        <v>44348</v>
      </c>
      <c r="AI28" s="111" t="s">
        <v>22</v>
      </c>
      <c r="AJ28" s="131">
        <f t="shared" ca="1" si="1"/>
        <v>0</v>
      </c>
      <c r="AK28" s="102" t="s">
        <v>187</v>
      </c>
      <c r="AL28" s="102" t="s">
        <v>203</v>
      </c>
      <c r="AM28" s="105" t="s">
        <v>222</v>
      </c>
      <c r="AN28" s="105" t="s">
        <v>217</v>
      </c>
      <c r="AO28" s="105" t="s">
        <v>191</v>
      </c>
      <c r="AP28" s="109" t="s">
        <v>218</v>
      </c>
      <c r="AQ28" s="112" t="s">
        <v>177</v>
      </c>
      <c r="AR28" s="102" t="s">
        <v>306</v>
      </c>
      <c r="AS28" s="102" t="s">
        <v>287</v>
      </c>
      <c r="AT28" s="113" t="s">
        <v>177</v>
      </c>
      <c r="AU28" s="114">
        <v>44688</v>
      </c>
      <c r="AV28" s="107" t="s">
        <v>22</v>
      </c>
      <c r="AW28" s="109" t="s">
        <v>210</v>
      </c>
      <c r="AX28" s="115">
        <f t="shared" si="2"/>
        <v>2021</v>
      </c>
      <c r="AY28" s="115">
        <f t="shared" si="3"/>
        <v>2022</v>
      </c>
    </row>
    <row r="29" spans="1:51" ht="22.5" customHeight="1">
      <c r="A29" s="102" t="s">
        <v>177</v>
      </c>
      <c r="B29" s="102" t="s">
        <v>177</v>
      </c>
      <c r="C29" s="102" t="s">
        <v>177</v>
      </c>
      <c r="D29" s="102" t="s">
        <v>195</v>
      </c>
      <c r="E29" s="102" t="s">
        <v>179</v>
      </c>
      <c r="F29" s="102" t="s">
        <v>180</v>
      </c>
      <c r="G29" s="102" t="s">
        <v>221</v>
      </c>
      <c r="H29" s="102" t="s">
        <v>199</v>
      </c>
      <c r="I29" s="102" t="s">
        <v>200</v>
      </c>
      <c r="J29" s="102" t="s">
        <v>254</v>
      </c>
      <c r="K29" s="103">
        <v>33618</v>
      </c>
      <c r="L29" s="63">
        <f t="shared" ca="1" si="0"/>
        <v>33</v>
      </c>
      <c r="M29" s="104" t="s">
        <v>184</v>
      </c>
      <c r="N29" s="105"/>
      <c r="O29" s="104" t="s">
        <v>186</v>
      </c>
      <c r="P29" s="102" t="s">
        <v>177</v>
      </c>
      <c r="Q29" s="102" t="s">
        <v>177</v>
      </c>
      <c r="R29" s="106" t="s">
        <v>177</v>
      </c>
      <c r="S29" s="107" t="s">
        <v>177</v>
      </c>
      <c r="T29" s="102" t="s">
        <v>177</v>
      </c>
      <c r="U29" s="102" t="s">
        <v>177</v>
      </c>
      <c r="V29" s="102" t="s">
        <v>177</v>
      </c>
      <c r="W29" s="102" t="s">
        <v>177</v>
      </c>
      <c r="X29" s="102" t="s">
        <v>177</v>
      </c>
      <c r="Y29" s="102" t="s">
        <v>177</v>
      </c>
      <c r="Z29" s="102" t="s">
        <v>177</v>
      </c>
      <c r="AA29" s="102" t="s">
        <v>177</v>
      </c>
      <c r="AB29" s="105" t="s">
        <v>186</v>
      </c>
      <c r="AC29" s="109" t="s">
        <v>177</v>
      </c>
      <c r="AD29" s="107" t="s">
        <v>177</v>
      </c>
      <c r="AE29" s="102" t="s">
        <v>177</v>
      </c>
      <c r="AF29" s="109" t="s">
        <v>177</v>
      </c>
      <c r="AG29" s="107" t="s">
        <v>177</v>
      </c>
      <c r="AH29" s="110">
        <v>43862</v>
      </c>
      <c r="AI29" s="111" t="s">
        <v>21</v>
      </c>
      <c r="AJ29" s="131">
        <f t="shared" ca="1" si="1"/>
        <v>2</v>
      </c>
      <c r="AK29" s="102" t="s">
        <v>187</v>
      </c>
      <c r="AL29" s="102" t="s">
        <v>203</v>
      </c>
      <c r="AM29" s="105" t="s">
        <v>230</v>
      </c>
      <c r="AN29" s="105" t="s">
        <v>190</v>
      </c>
      <c r="AO29" s="105" t="s">
        <v>311</v>
      </c>
      <c r="AP29" s="109" t="s">
        <v>207</v>
      </c>
      <c r="AQ29" s="112" t="s">
        <v>177</v>
      </c>
      <c r="AR29" s="102" t="s">
        <v>306</v>
      </c>
      <c r="AS29" s="102" t="s">
        <v>194</v>
      </c>
      <c r="AT29" s="113" t="s">
        <v>177</v>
      </c>
      <c r="AU29" s="114">
        <v>44782</v>
      </c>
      <c r="AV29" s="111" t="s">
        <v>25</v>
      </c>
      <c r="AW29" s="109" t="s">
        <v>210</v>
      </c>
      <c r="AX29" s="115">
        <f t="shared" si="2"/>
        <v>2020</v>
      </c>
      <c r="AY29" s="115">
        <f t="shared" si="3"/>
        <v>2022</v>
      </c>
    </row>
    <row r="30" spans="1:51" ht="22.5" customHeight="1">
      <c r="A30" s="102" t="s">
        <v>177</v>
      </c>
      <c r="B30" s="102" t="s">
        <v>177</v>
      </c>
      <c r="C30" s="102" t="s">
        <v>177</v>
      </c>
      <c r="D30" s="102" t="s">
        <v>195</v>
      </c>
      <c r="E30" s="102" t="s">
        <v>179</v>
      </c>
      <c r="F30" s="102" t="s">
        <v>180</v>
      </c>
      <c r="G30" s="102" t="s">
        <v>221</v>
      </c>
      <c r="H30" s="102" t="s">
        <v>199</v>
      </c>
      <c r="I30" s="102" t="s">
        <v>200</v>
      </c>
      <c r="J30" s="102" t="s">
        <v>228</v>
      </c>
      <c r="K30" s="104">
        <v>24473</v>
      </c>
      <c r="L30" s="63">
        <f t="shared" ca="1" si="0"/>
        <v>58</v>
      </c>
      <c r="M30" s="104" t="s">
        <v>184</v>
      </c>
      <c r="N30" s="105"/>
      <c r="O30" s="104" t="s">
        <v>186</v>
      </c>
      <c r="P30" s="102" t="s">
        <v>177</v>
      </c>
      <c r="Q30" s="102" t="s">
        <v>177</v>
      </c>
      <c r="R30" s="106" t="s">
        <v>177</v>
      </c>
      <c r="S30" s="107" t="s">
        <v>177</v>
      </c>
      <c r="T30" s="102" t="s">
        <v>177</v>
      </c>
      <c r="U30" s="102" t="s">
        <v>177</v>
      </c>
      <c r="V30" s="102" t="s">
        <v>177</v>
      </c>
      <c r="W30" s="102" t="s">
        <v>177</v>
      </c>
      <c r="X30" s="102" t="s">
        <v>177</v>
      </c>
      <c r="Y30" s="102" t="s">
        <v>177</v>
      </c>
      <c r="Z30" s="102" t="s">
        <v>177</v>
      </c>
      <c r="AA30" s="102" t="s">
        <v>177</v>
      </c>
      <c r="AB30" s="105" t="s">
        <v>186</v>
      </c>
      <c r="AC30" s="105" t="s">
        <v>177</v>
      </c>
      <c r="AD30" s="108" t="s">
        <v>177</v>
      </c>
      <c r="AE30" s="102" t="s">
        <v>177</v>
      </c>
      <c r="AF30" s="109" t="s">
        <v>177</v>
      </c>
      <c r="AG30" s="107" t="s">
        <v>177</v>
      </c>
      <c r="AH30" s="111">
        <v>40670</v>
      </c>
      <c r="AI30" s="111" t="s">
        <v>22</v>
      </c>
      <c r="AJ30" s="131">
        <f t="shared" ca="1" si="1"/>
        <v>11</v>
      </c>
      <c r="AK30" s="102" t="s">
        <v>187</v>
      </c>
      <c r="AL30" s="102" t="s">
        <v>203</v>
      </c>
      <c r="AM30" s="105" t="s">
        <v>307</v>
      </c>
      <c r="AN30" s="105" t="s">
        <v>205</v>
      </c>
      <c r="AO30" s="105" t="s">
        <v>206</v>
      </c>
      <c r="AP30" s="109" t="s">
        <v>308</v>
      </c>
      <c r="AQ30" s="112" t="s">
        <v>177</v>
      </c>
      <c r="AR30" s="102" t="s">
        <v>306</v>
      </c>
      <c r="AS30" s="102" t="s">
        <v>209</v>
      </c>
      <c r="AT30" s="113" t="s">
        <v>177</v>
      </c>
      <c r="AU30" s="114">
        <v>44837</v>
      </c>
      <c r="AV30" s="107" t="s">
        <v>26</v>
      </c>
      <c r="AW30" s="109" t="s">
        <v>210</v>
      </c>
      <c r="AX30" s="115">
        <f t="shared" si="2"/>
        <v>2011</v>
      </c>
      <c r="AY30" s="115">
        <f t="shared" si="3"/>
        <v>2022</v>
      </c>
    </row>
    <row r="31" spans="1:51" ht="22.5" customHeight="1">
      <c r="A31" s="102"/>
      <c r="B31" s="102"/>
      <c r="C31" s="102"/>
      <c r="D31" s="102"/>
      <c r="E31" s="102"/>
      <c r="F31" s="102"/>
      <c r="G31" s="102"/>
      <c r="H31" s="102"/>
      <c r="I31" s="102"/>
      <c r="J31" s="102"/>
      <c r="K31" s="104"/>
      <c r="L31" s="63" t="str">
        <f t="shared" ca="1" si="0"/>
        <v/>
      </c>
      <c r="M31" s="104"/>
      <c r="N31" s="105"/>
      <c r="O31" s="104"/>
      <c r="P31" s="102"/>
      <c r="Q31" s="102"/>
      <c r="R31" s="106"/>
      <c r="S31" s="107"/>
      <c r="T31" s="102"/>
      <c r="U31" s="102"/>
      <c r="V31" s="102"/>
      <c r="W31" s="102"/>
      <c r="X31" s="102"/>
      <c r="Y31" s="102"/>
      <c r="Z31" s="102"/>
      <c r="AA31" s="102"/>
      <c r="AB31" s="105"/>
      <c r="AC31" s="105"/>
      <c r="AD31" s="108"/>
      <c r="AE31" s="102"/>
      <c r="AF31" s="109"/>
      <c r="AG31" s="107"/>
      <c r="AH31" s="111"/>
      <c r="AI31" s="111"/>
      <c r="AJ31" s="131" t="str">
        <f t="shared" ca="1" si="1"/>
        <v/>
      </c>
      <c r="AK31" s="102"/>
      <c r="AL31" s="102"/>
      <c r="AM31" s="105"/>
      <c r="AN31" s="105"/>
      <c r="AO31" s="105"/>
      <c r="AP31" s="109"/>
      <c r="AQ31" s="112"/>
      <c r="AR31" s="102"/>
      <c r="AS31" s="102"/>
      <c r="AT31" s="113"/>
      <c r="AU31" s="108"/>
      <c r="AV31" s="107"/>
      <c r="AW31" s="109"/>
      <c r="AX31" s="115">
        <f t="shared" si="2"/>
        <v>1900</v>
      </c>
      <c r="AY31" s="115">
        <f t="shared" si="3"/>
        <v>1900</v>
      </c>
    </row>
    <row r="32" spans="1:51" ht="22.5" customHeight="1">
      <c r="A32" s="102"/>
      <c r="B32" s="102"/>
      <c r="C32" s="102"/>
      <c r="D32" s="102"/>
      <c r="E32" s="102"/>
      <c r="F32" s="102"/>
      <c r="G32" s="102"/>
      <c r="H32" s="102"/>
      <c r="I32" s="102"/>
      <c r="J32" s="102"/>
      <c r="K32" s="104"/>
      <c r="L32" s="63" t="str">
        <f t="shared" ca="1" si="0"/>
        <v/>
      </c>
      <c r="M32" s="104"/>
      <c r="N32" s="105"/>
      <c r="O32" s="104"/>
      <c r="P32" s="102"/>
      <c r="Q32" s="102"/>
      <c r="R32" s="106"/>
      <c r="S32" s="107"/>
      <c r="T32" s="102"/>
      <c r="U32" s="102"/>
      <c r="V32" s="102"/>
      <c r="W32" s="102"/>
      <c r="X32" s="102"/>
      <c r="Y32" s="102"/>
      <c r="Z32" s="102"/>
      <c r="AA32" s="102"/>
      <c r="AB32" s="105"/>
      <c r="AC32" s="105"/>
      <c r="AD32" s="108"/>
      <c r="AE32" s="102"/>
      <c r="AF32" s="109"/>
      <c r="AG32" s="107"/>
      <c r="AH32" s="111"/>
      <c r="AI32" s="111"/>
      <c r="AJ32" s="131" t="str">
        <f t="shared" ca="1" si="1"/>
        <v/>
      </c>
      <c r="AK32" s="102"/>
      <c r="AL32" s="102"/>
      <c r="AM32" s="105"/>
      <c r="AN32" s="105"/>
      <c r="AO32" s="105"/>
      <c r="AP32" s="109"/>
      <c r="AQ32" s="112"/>
      <c r="AR32" s="102"/>
      <c r="AS32" s="102"/>
      <c r="AT32" s="113"/>
      <c r="AU32" s="108"/>
      <c r="AV32" s="107"/>
      <c r="AW32" s="109"/>
      <c r="AX32" s="115">
        <f t="shared" si="2"/>
        <v>1900</v>
      </c>
      <c r="AY32" s="115">
        <f t="shared" si="3"/>
        <v>1900</v>
      </c>
    </row>
    <row r="33" spans="1:51" ht="22.5" customHeight="1">
      <c r="A33" s="102"/>
      <c r="B33" s="102"/>
      <c r="C33" s="102"/>
      <c r="D33" s="102"/>
      <c r="E33" s="102"/>
      <c r="F33" s="102"/>
      <c r="G33" s="102"/>
      <c r="H33" s="102"/>
      <c r="I33" s="102"/>
      <c r="J33" s="102"/>
      <c r="K33" s="104"/>
      <c r="L33" s="63" t="str">
        <f t="shared" ca="1" si="0"/>
        <v/>
      </c>
      <c r="M33" s="104"/>
      <c r="N33" s="105"/>
      <c r="O33" s="104"/>
      <c r="P33" s="102"/>
      <c r="Q33" s="102"/>
      <c r="R33" s="106"/>
      <c r="S33" s="107"/>
      <c r="T33" s="102"/>
      <c r="U33" s="102"/>
      <c r="V33" s="102"/>
      <c r="W33" s="102"/>
      <c r="X33" s="102"/>
      <c r="Y33" s="102"/>
      <c r="Z33" s="102"/>
      <c r="AA33" s="102"/>
      <c r="AB33" s="105"/>
      <c r="AC33" s="105"/>
      <c r="AD33" s="108"/>
      <c r="AE33" s="102"/>
      <c r="AF33" s="109"/>
      <c r="AG33" s="107"/>
      <c r="AH33" s="111"/>
      <c r="AI33" s="111"/>
      <c r="AJ33" s="131" t="str">
        <f t="shared" ca="1" si="1"/>
        <v/>
      </c>
      <c r="AK33" s="102"/>
      <c r="AL33" s="102"/>
      <c r="AM33" s="105"/>
      <c r="AN33" s="105"/>
      <c r="AO33" s="105"/>
      <c r="AP33" s="109"/>
      <c r="AQ33" s="112"/>
      <c r="AR33" s="102"/>
      <c r="AS33" s="102"/>
      <c r="AT33" s="113"/>
      <c r="AU33" s="108"/>
      <c r="AV33" s="107"/>
      <c r="AW33" s="109"/>
      <c r="AX33" s="115">
        <f t="shared" si="2"/>
        <v>1900</v>
      </c>
      <c r="AY33" s="115">
        <f t="shared" si="3"/>
        <v>1900</v>
      </c>
    </row>
    <row r="34" spans="1:51" ht="22.5" customHeight="1">
      <c r="A34" s="102"/>
      <c r="B34" s="102"/>
      <c r="C34" s="102"/>
      <c r="D34" s="102"/>
      <c r="E34" s="102"/>
      <c r="F34" s="102"/>
      <c r="G34" s="102"/>
      <c r="H34" s="102"/>
      <c r="I34" s="102"/>
      <c r="J34" s="102"/>
      <c r="K34" s="104"/>
      <c r="L34" s="63" t="str">
        <f t="shared" ca="1" si="0"/>
        <v/>
      </c>
      <c r="M34" s="104"/>
      <c r="N34" s="105"/>
      <c r="O34" s="104"/>
      <c r="P34" s="102"/>
      <c r="Q34" s="102"/>
      <c r="R34" s="106"/>
      <c r="S34" s="107"/>
      <c r="T34" s="102"/>
      <c r="U34" s="102"/>
      <c r="V34" s="102"/>
      <c r="W34" s="102"/>
      <c r="X34" s="102"/>
      <c r="Y34" s="102"/>
      <c r="Z34" s="102"/>
      <c r="AA34" s="102"/>
      <c r="AB34" s="105"/>
      <c r="AC34" s="105"/>
      <c r="AD34" s="108"/>
      <c r="AE34" s="102"/>
      <c r="AF34" s="109"/>
      <c r="AG34" s="107"/>
      <c r="AH34" s="111"/>
      <c r="AI34" s="111"/>
      <c r="AJ34" s="131" t="str">
        <f t="shared" ca="1" si="1"/>
        <v/>
      </c>
      <c r="AK34" s="102"/>
      <c r="AL34" s="102"/>
      <c r="AM34" s="105"/>
      <c r="AN34" s="105"/>
      <c r="AO34" s="105"/>
      <c r="AP34" s="109"/>
      <c r="AQ34" s="112"/>
      <c r="AR34" s="102"/>
      <c r="AS34" s="102"/>
      <c r="AT34" s="113"/>
      <c r="AU34" s="114"/>
      <c r="AV34" s="111"/>
      <c r="AW34" s="109"/>
      <c r="AX34" s="115">
        <f t="shared" si="2"/>
        <v>1900</v>
      </c>
      <c r="AY34" s="115">
        <f t="shared" si="3"/>
        <v>1900</v>
      </c>
    </row>
    <row r="35" spans="1:51" ht="22.5" customHeight="1">
      <c r="A35" s="102"/>
      <c r="B35" s="102"/>
      <c r="C35" s="102"/>
      <c r="D35" s="102"/>
      <c r="E35" s="102"/>
      <c r="F35" s="102"/>
      <c r="G35" s="102"/>
      <c r="H35" s="102"/>
      <c r="I35" s="102"/>
      <c r="J35" s="102"/>
      <c r="K35" s="104"/>
      <c r="L35" s="63" t="str">
        <f t="shared" ca="1" si="0"/>
        <v/>
      </c>
      <c r="M35" s="104"/>
      <c r="N35" s="105"/>
      <c r="O35" s="104"/>
      <c r="P35" s="102"/>
      <c r="Q35" s="102"/>
      <c r="R35" s="106"/>
      <c r="S35" s="107"/>
      <c r="T35" s="102"/>
      <c r="U35" s="102"/>
      <c r="V35" s="102"/>
      <c r="W35" s="102"/>
      <c r="X35" s="102"/>
      <c r="Y35" s="102"/>
      <c r="Z35" s="102"/>
      <c r="AA35" s="102"/>
      <c r="AB35" s="105"/>
      <c r="AC35" s="105"/>
      <c r="AD35" s="108"/>
      <c r="AE35" s="102"/>
      <c r="AF35" s="109"/>
      <c r="AG35" s="107"/>
      <c r="AH35" s="111"/>
      <c r="AI35" s="111"/>
      <c r="AJ35" s="131" t="str">
        <f t="shared" ca="1" si="1"/>
        <v/>
      </c>
      <c r="AK35" s="102"/>
      <c r="AL35" s="102"/>
      <c r="AM35" s="105"/>
      <c r="AN35" s="105"/>
      <c r="AO35" s="105"/>
      <c r="AP35" s="109"/>
      <c r="AQ35" s="112"/>
      <c r="AR35" s="102"/>
      <c r="AS35" s="102"/>
      <c r="AT35" s="113"/>
      <c r="AU35" s="108"/>
      <c r="AV35" s="107"/>
      <c r="AW35" s="109"/>
      <c r="AX35" s="115">
        <f t="shared" si="2"/>
        <v>1900</v>
      </c>
      <c r="AY35" s="115">
        <f t="shared" si="3"/>
        <v>1900</v>
      </c>
    </row>
    <row r="36" spans="1:51" ht="22.5" customHeight="1">
      <c r="A36" s="102"/>
      <c r="B36" s="102"/>
      <c r="C36" s="102"/>
      <c r="D36" s="102"/>
      <c r="E36" s="102"/>
      <c r="F36" s="102"/>
      <c r="G36" s="102"/>
      <c r="H36" s="102"/>
      <c r="I36" s="102"/>
      <c r="J36" s="102"/>
      <c r="K36" s="104"/>
      <c r="L36" s="63" t="str">
        <f t="shared" ca="1" si="0"/>
        <v/>
      </c>
      <c r="M36" s="104"/>
      <c r="N36" s="105"/>
      <c r="O36" s="104"/>
      <c r="P36" s="102"/>
      <c r="Q36" s="102"/>
      <c r="R36" s="106"/>
      <c r="S36" s="107"/>
      <c r="T36" s="102"/>
      <c r="U36" s="102"/>
      <c r="V36" s="102"/>
      <c r="W36" s="102"/>
      <c r="X36" s="102"/>
      <c r="Y36" s="102"/>
      <c r="Z36" s="102"/>
      <c r="AA36" s="102"/>
      <c r="AB36" s="105"/>
      <c r="AC36" s="105"/>
      <c r="AD36" s="108"/>
      <c r="AE36" s="102"/>
      <c r="AF36" s="109"/>
      <c r="AG36" s="107"/>
      <c r="AH36" s="111"/>
      <c r="AI36" s="111"/>
      <c r="AJ36" s="131" t="str">
        <f t="shared" ca="1" si="1"/>
        <v/>
      </c>
      <c r="AK36" s="102"/>
      <c r="AL36" s="102"/>
      <c r="AM36" s="105"/>
      <c r="AN36" s="105"/>
      <c r="AO36" s="105"/>
      <c r="AP36" s="109"/>
      <c r="AQ36" s="112"/>
      <c r="AR36" s="102"/>
      <c r="AS36" s="102"/>
      <c r="AT36" s="113"/>
      <c r="AU36" s="108"/>
      <c r="AV36" s="107"/>
      <c r="AW36" s="109"/>
      <c r="AX36" s="115">
        <f t="shared" si="2"/>
        <v>1900</v>
      </c>
      <c r="AY36" s="115">
        <f t="shared" si="3"/>
        <v>1900</v>
      </c>
    </row>
    <row r="37" spans="1:51" ht="22.5" customHeight="1">
      <c r="A37" s="102"/>
      <c r="B37" s="102"/>
      <c r="C37" s="102"/>
      <c r="D37" s="102"/>
      <c r="E37" s="102"/>
      <c r="F37" s="102"/>
      <c r="G37" s="102"/>
      <c r="H37" s="102"/>
      <c r="I37" s="102"/>
      <c r="J37" s="102"/>
      <c r="K37" s="104"/>
      <c r="L37" s="63" t="str">
        <f t="shared" ca="1" si="0"/>
        <v/>
      </c>
      <c r="M37" s="104"/>
      <c r="N37" s="105"/>
      <c r="O37" s="104"/>
      <c r="P37" s="102"/>
      <c r="Q37" s="102"/>
      <c r="R37" s="106"/>
      <c r="S37" s="107"/>
      <c r="T37" s="102"/>
      <c r="U37" s="102"/>
      <c r="V37" s="102"/>
      <c r="W37" s="102"/>
      <c r="X37" s="102"/>
      <c r="Y37" s="102"/>
      <c r="Z37" s="102"/>
      <c r="AA37" s="102"/>
      <c r="AB37" s="105"/>
      <c r="AC37" s="105"/>
      <c r="AD37" s="108"/>
      <c r="AE37" s="102"/>
      <c r="AF37" s="109"/>
      <c r="AG37" s="107"/>
      <c r="AH37" s="111"/>
      <c r="AI37" s="111"/>
      <c r="AJ37" s="131" t="str">
        <f t="shared" ca="1" si="1"/>
        <v/>
      </c>
      <c r="AK37" s="102"/>
      <c r="AL37" s="102"/>
      <c r="AM37" s="105"/>
      <c r="AN37" s="105"/>
      <c r="AO37" s="105"/>
      <c r="AP37" s="109"/>
      <c r="AQ37" s="112"/>
      <c r="AR37" s="102"/>
      <c r="AS37" s="102"/>
      <c r="AT37" s="113"/>
      <c r="AU37" s="108"/>
      <c r="AV37" s="107"/>
      <c r="AW37" s="109"/>
      <c r="AX37" s="115">
        <f t="shared" si="2"/>
        <v>1900</v>
      </c>
      <c r="AY37" s="115">
        <f t="shared" si="3"/>
        <v>1900</v>
      </c>
    </row>
    <row r="38" spans="1:51" ht="22.5" customHeight="1">
      <c r="A38" s="102"/>
      <c r="B38" s="102"/>
      <c r="C38" s="102"/>
      <c r="D38" s="102"/>
      <c r="E38" s="102"/>
      <c r="F38" s="102"/>
      <c r="G38" s="102"/>
      <c r="H38" s="102"/>
      <c r="I38" s="102"/>
      <c r="J38" s="102"/>
      <c r="K38" s="104"/>
      <c r="L38" s="63" t="str">
        <f t="shared" ca="1" si="0"/>
        <v/>
      </c>
      <c r="M38" s="104"/>
      <c r="N38" s="105"/>
      <c r="O38" s="104"/>
      <c r="P38" s="102"/>
      <c r="Q38" s="102"/>
      <c r="R38" s="106"/>
      <c r="S38" s="107"/>
      <c r="T38" s="102"/>
      <c r="U38" s="102"/>
      <c r="V38" s="102"/>
      <c r="W38" s="102"/>
      <c r="X38" s="102"/>
      <c r="Y38" s="102"/>
      <c r="Z38" s="102"/>
      <c r="AA38" s="102"/>
      <c r="AB38" s="105"/>
      <c r="AC38" s="105"/>
      <c r="AD38" s="108"/>
      <c r="AE38" s="102"/>
      <c r="AF38" s="109"/>
      <c r="AG38" s="107"/>
      <c r="AH38" s="111"/>
      <c r="AI38" s="111"/>
      <c r="AJ38" s="131" t="str">
        <f t="shared" ca="1" si="1"/>
        <v/>
      </c>
      <c r="AK38" s="102"/>
      <c r="AL38" s="102"/>
      <c r="AM38" s="105"/>
      <c r="AN38" s="105"/>
      <c r="AO38" s="105"/>
      <c r="AP38" s="109"/>
      <c r="AQ38" s="112"/>
      <c r="AR38" s="102"/>
      <c r="AS38" s="102"/>
      <c r="AT38" s="113"/>
      <c r="AU38" s="108"/>
      <c r="AV38" s="107"/>
      <c r="AW38" s="109"/>
      <c r="AX38" s="115">
        <f t="shared" si="2"/>
        <v>1900</v>
      </c>
      <c r="AY38" s="115">
        <f t="shared" si="3"/>
        <v>1900</v>
      </c>
    </row>
    <row r="39" spans="1:51" ht="22.5" customHeight="1">
      <c r="A39" s="102"/>
      <c r="B39" s="102"/>
      <c r="C39" s="102"/>
      <c r="D39" s="102"/>
      <c r="E39" s="102"/>
      <c r="F39" s="102"/>
      <c r="G39" s="102"/>
      <c r="H39" s="102"/>
      <c r="I39" s="102"/>
      <c r="J39" s="102"/>
      <c r="K39" s="104"/>
      <c r="L39" s="63" t="str">
        <f t="shared" ca="1" si="0"/>
        <v/>
      </c>
      <c r="M39" s="104"/>
      <c r="N39" s="105"/>
      <c r="O39" s="104"/>
      <c r="P39" s="102"/>
      <c r="Q39" s="102"/>
      <c r="R39" s="106"/>
      <c r="S39" s="107"/>
      <c r="T39" s="102"/>
      <c r="U39" s="102"/>
      <c r="V39" s="102"/>
      <c r="W39" s="102"/>
      <c r="X39" s="102"/>
      <c r="Y39" s="102"/>
      <c r="Z39" s="102"/>
      <c r="AA39" s="102"/>
      <c r="AB39" s="105"/>
      <c r="AC39" s="105"/>
      <c r="AD39" s="108"/>
      <c r="AE39" s="102"/>
      <c r="AF39" s="109"/>
      <c r="AG39" s="107"/>
      <c r="AH39" s="111"/>
      <c r="AI39" s="111"/>
      <c r="AJ39" s="131" t="str">
        <f t="shared" ca="1" si="1"/>
        <v/>
      </c>
      <c r="AK39" s="102"/>
      <c r="AL39" s="102"/>
      <c r="AM39" s="105"/>
      <c r="AN39" s="105"/>
      <c r="AO39" s="105"/>
      <c r="AP39" s="109"/>
      <c r="AQ39" s="112"/>
      <c r="AR39" s="102"/>
      <c r="AS39" s="102"/>
      <c r="AT39" s="113"/>
      <c r="AU39" s="108"/>
      <c r="AV39" s="107"/>
      <c r="AW39" s="109"/>
      <c r="AX39" s="115">
        <f t="shared" si="2"/>
        <v>1900</v>
      </c>
      <c r="AY39" s="115">
        <f t="shared" si="3"/>
        <v>1900</v>
      </c>
    </row>
    <row r="40" spans="1:51" ht="22.5" customHeight="1">
      <c r="A40" s="102"/>
      <c r="B40" s="102"/>
      <c r="C40" s="102"/>
      <c r="D40" s="102"/>
      <c r="E40" s="102"/>
      <c r="F40" s="102"/>
      <c r="G40" s="102"/>
      <c r="H40" s="102"/>
      <c r="I40" s="102"/>
      <c r="J40" s="102"/>
      <c r="K40" s="104"/>
      <c r="L40" s="63" t="str">
        <f t="shared" ca="1" si="0"/>
        <v/>
      </c>
      <c r="M40" s="104"/>
      <c r="N40" s="105"/>
      <c r="O40" s="104"/>
      <c r="P40" s="102"/>
      <c r="Q40" s="102"/>
      <c r="R40" s="106"/>
      <c r="S40" s="107"/>
      <c r="T40" s="102"/>
      <c r="U40" s="102"/>
      <c r="V40" s="102"/>
      <c r="W40" s="102"/>
      <c r="X40" s="102"/>
      <c r="Y40" s="102"/>
      <c r="Z40" s="102"/>
      <c r="AA40" s="102"/>
      <c r="AB40" s="105"/>
      <c r="AC40" s="105"/>
      <c r="AD40" s="108"/>
      <c r="AE40" s="102"/>
      <c r="AF40" s="109"/>
      <c r="AG40" s="107"/>
      <c r="AH40" s="111"/>
      <c r="AI40" s="111"/>
      <c r="AJ40" s="131" t="str">
        <f t="shared" ca="1" si="1"/>
        <v/>
      </c>
      <c r="AK40" s="102"/>
      <c r="AL40" s="102"/>
      <c r="AM40" s="105"/>
      <c r="AN40" s="105"/>
      <c r="AO40" s="105"/>
      <c r="AP40" s="109"/>
      <c r="AQ40" s="112"/>
      <c r="AR40" s="102"/>
      <c r="AS40" s="102"/>
      <c r="AT40" s="113"/>
      <c r="AU40" s="108"/>
      <c r="AV40" s="107"/>
      <c r="AW40" s="109"/>
      <c r="AX40" s="115">
        <f t="shared" si="2"/>
        <v>1900</v>
      </c>
      <c r="AY40" s="115">
        <f t="shared" si="3"/>
        <v>1900</v>
      </c>
    </row>
    <row r="41" spans="1:51" ht="22.5" customHeight="1">
      <c r="A41" s="102"/>
      <c r="B41" s="102"/>
      <c r="C41" s="102"/>
      <c r="D41" s="102"/>
      <c r="E41" s="102"/>
      <c r="F41" s="102"/>
      <c r="G41" s="102"/>
      <c r="H41" s="102"/>
      <c r="I41" s="102"/>
      <c r="J41" s="102"/>
      <c r="K41" s="104"/>
      <c r="L41" s="63" t="str">
        <f t="shared" ca="1" si="0"/>
        <v/>
      </c>
      <c r="M41" s="104"/>
      <c r="N41" s="105"/>
      <c r="O41" s="104"/>
      <c r="P41" s="102"/>
      <c r="Q41" s="102"/>
      <c r="R41" s="106"/>
      <c r="S41" s="107"/>
      <c r="T41" s="102"/>
      <c r="U41" s="102"/>
      <c r="V41" s="102"/>
      <c r="W41" s="102"/>
      <c r="X41" s="102"/>
      <c r="Y41" s="102"/>
      <c r="Z41" s="102"/>
      <c r="AA41" s="102"/>
      <c r="AB41" s="105"/>
      <c r="AC41" s="105"/>
      <c r="AD41" s="108"/>
      <c r="AE41" s="102"/>
      <c r="AF41" s="109"/>
      <c r="AG41" s="107"/>
      <c r="AH41" s="111"/>
      <c r="AI41" s="111"/>
      <c r="AJ41" s="131" t="str">
        <f t="shared" ca="1" si="1"/>
        <v/>
      </c>
      <c r="AK41" s="102"/>
      <c r="AL41" s="102"/>
      <c r="AM41" s="105"/>
      <c r="AN41" s="105"/>
      <c r="AO41" s="105"/>
      <c r="AP41" s="109"/>
      <c r="AQ41" s="112"/>
      <c r="AR41" s="102"/>
      <c r="AS41" s="102"/>
      <c r="AT41" s="113"/>
      <c r="AU41" s="108"/>
      <c r="AV41" s="107"/>
      <c r="AW41" s="109"/>
      <c r="AX41" s="115">
        <f t="shared" si="2"/>
        <v>1900</v>
      </c>
      <c r="AY41" s="115">
        <f t="shared" si="3"/>
        <v>1900</v>
      </c>
    </row>
    <row r="42" spans="1:51" ht="22.5" customHeight="1">
      <c r="A42" s="102"/>
      <c r="B42" s="102"/>
      <c r="C42" s="102"/>
      <c r="D42" s="102"/>
      <c r="E42" s="102"/>
      <c r="F42" s="102"/>
      <c r="G42" s="102"/>
      <c r="H42" s="102"/>
      <c r="I42" s="102"/>
      <c r="J42" s="102"/>
      <c r="K42" s="104"/>
      <c r="L42" s="63" t="str">
        <f t="shared" ca="1" si="0"/>
        <v/>
      </c>
      <c r="M42" s="104"/>
      <c r="N42" s="105"/>
      <c r="O42" s="104"/>
      <c r="P42" s="102"/>
      <c r="Q42" s="102"/>
      <c r="R42" s="106"/>
      <c r="S42" s="107"/>
      <c r="T42" s="102"/>
      <c r="U42" s="102"/>
      <c r="V42" s="102"/>
      <c r="W42" s="102"/>
      <c r="X42" s="102"/>
      <c r="Y42" s="102"/>
      <c r="Z42" s="102"/>
      <c r="AA42" s="102"/>
      <c r="AB42" s="105"/>
      <c r="AC42" s="105"/>
      <c r="AD42" s="108"/>
      <c r="AE42" s="102"/>
      <c r="AF42" s="109"/>
      <c r="AG42" s="107"/>
      <c r="AH42" s="111"/>
      <c r="AI42" s="111"/>
      <c r="AJ42" s="131" t="str">
        <f t="shared" ca="1" si="1"/>
        <v/>
      </c>
      <c r="AK42" s="102"/>
      <c r="AL42" s="102"/>
      <c r="AM42" s="105"/>
      <c r="AN42" s="105"/>
      <c r="AO42" s="105"/>
      <c r="AP42" s="109"/>
      <c r="AQ42" s="112"/>
      <c r="AR42" s="102"/>
      <c r="AS42" s="102"/>
      <c r="AT42" s="113"/>
      <c r="AU42" s="108"/>
      <c r="AV42" s="107"/>
      <c r="AW42" s="109"/>
      <c r="AX42" s="115">
        <f t="shared" si="2"/>
        <v>1900</v>
      </c>
      <c r="AY42" s="115">
        <f t="shared" si="3"/>
        <v>1900</v>
      </c>
    </row>
    <row r="43" spans="1:51" ht="22.5" customHeight="1">
      <c r="A43" s="102"/>
      <c r="B43" s="102"/>
      <c r="C43" s="102"/>
      <c r="D43" s="102"/>
      <c r="E43" s="102"/>
      <c r="F43" s="102"/>
      <c r="G43" s="102"/>
      <c r="H43" s="102"/>
      <c r="I43" s="102"/>
      <c r="J43" s="102"/>
      <c r="K43" s="104"/>
      <c r="L43" s="63" t="str">
        <f t="shared" ca="1" si="0"/>
        <v/>
      </c>
      <c r="M43" s="104"/>
      <c r="N43" s="105"/>
      <c r="O43" s="104"/>
      <c r="P43" s="102"/>
      <c r="Q43" s="102"/>
      <c r="R43" s="106"/>
      <c r="S43" s="107"/>
      <c r="T43" s="102"/>
      <c r="U43" s="102"/>
      <c r="V43" s="102"/>
      <c r="W43" s="102"/>
      <c r="X43" s="102"/>
      <c r="Y43" s="102"/>
      <c r="Z43" s="102"/>
      <c r="AA43" s="102"/>
      <c r="AB43" s="105"/>
      <c r="AC43" s="105"/>
      <c r="AD43" s="108"/>
      <c r="AE43" s="102"/>
      <c r="AF43" s="109"/>
      <c r="AG43" s="107"/>
      <c r="AH43" s="111"/>
      <c r="AI43" s="111"/>
      <c r="AJ43" s="131" t="str">
        <f t="shared" ca="1" si="1"/>
        <v/>
      </c>
      <c r="AK43" s="102"/>
      <c r="AL43" s="102"/>
      <c r="AM43" s="105"/>
      <c r="AN43" s="105"/>
      <c r="AO43" s="105"/>
      <c r="AP43" s="109"/>
      <c r="AQ43" s="112"/>
      <c r="AR43" s="102"/>
      <c r="AS43" s="102"/>
      <c r="AT43" s="113"/>
      <c r="AU43" s="114"/>
      <c r="AV43" s="111"/>
      <c r="AW43" s="109"/>
      <c r="AX43" s="115">
        <f t="shared" si="2"/>
        <v>1900</v>
      </c>
      <c r="AY43" s="115">
        <f t="shared" si="3"/>
        <v>1900</v>
      </c>
    </row>
    <row r="44" spans="1:51" ht="22.5" customHeight="1">
      <c r="A44" s="102"/>
      <c r="B44" s="102"/>
      <c r="C44" s="102"/>
      <c r="D44" s="102"/>
      <c r="E44" s="102"/>
      <c r="F44" s="102"/>
      <c r="G44" s="102"/>
      <c r="H44" s="102"/>
      <c r="I44" s="102"/>
      <c r="J44" s="102"/>
      <c r="K44" s="104"/>
      <c r="L44" s="63" t="str">
        <f t="shared" ca="1" si="0"/>
        <v/>
      </c>
      <c r="M44" s="104"/>
      <c r="N44" s="105"/>
      <c r="O44" s="104"/>
      <c r="P44" s="102"/>
      <c r="Q44" s="102"/>
      <c r="R44" s="106"/>
      <c r="S44" s="107"/>
      <c r="T44" s="102"/>
      <c r="U44" s="102"/>
      <c r="V44" s="102"/>
      <c r="W44" s="102"/>
      <c r="X44" s="102"/>
      <c r="Y44" s="102"/>
      <c r="Z44" s="102"/>
      <c r="AA44" s="102"/>
      <c r="AB44" s="105"/>
      <c r="AC44" s="105"/>
      <c r="AD44" s="108"/>
      <c r="AE44" s="102"/>
      <c r="AF44" s="109"/>
      <c r="AG44" s="107"/>
      <c r="AH44" s="111"/>
      <c r="AI44" s="111"/>
      <c r="AJ44" s="131" t="str">
        <f t="shared" ca="1" si="1"/>
        <v/>
      </c>
      <c r="AK44" s="102"/>
      <c r="AL44" s="102"/>
      <c r="AM44" s="105"/>
      <c r="AN44" s="105"/>
      <c r="AO44" s="105"/>
      <c r="AP44" s="109"/>
      <c r="AQ44" s="112"/>
      <c r="AR44" s="102"/>
      <c r="AS44" s="102"/>
      <c r="AT44" s="113"/>
      <c r="AU44" s="108"/>
      <c r="AV44" s="107"/>
      <c r="AW44" s="109"/>
      <c r="AX44" s="115">
        <f t="shared" si="2"/>
        <v>1900</v>
      </c>
      <c r="AY44" s="115">
        <f t="shared" si="3"/>
        <v>1900</v>
      </c>
    </row>
    <row r="45" spans="1:51" ht="22.5" customHeight="1">
      <c r="A45" s="102"/>
      <c r="B45" s="102"/>
      <c r="C45" s="102"/>
      <c r="D45" s="102"/>
      <c r="E45" s="102"/>
      <c r="F45" s="102"/>
      <c r="G45" s="102"/>
      <c r="H45" s="102"/>
      <c r="I45" s="102"/>
      <c r="J45" s="102"/>
      <c r="K45" s="104"/>
      <c r="L45" s="63" t="str">
        <f t="shared" ca="1" si="0"/>
        <v/>
      </c>
      <c r="M45" s="104"/>
      <c r="N45" s="105"/>
      <c r="O45" s="104"/>
      <c r="P45" s="102"/>
      <c r="Q45" s="102"/>
      <c r="R45" s="106"/>
      <c r="S45" s="107"/>
      <c r="T45" s="102"/>
      <c r="U45" s="102"/>
      <c r="V45" s="102"/>
      <c r="W45" s="102"/>
      <c r="X45" s="102"/>
      <c r="Y45" s="102"/>
      <c r="Z45" s="102"/>
      <c r="AA45" s="102"/>
      <c r="AB45" s="105"/>
      <c r="AC45" s="105"/>
      <c r="AD45" s="108"/>
      <c r="AE45" s="102"/>
      <c r="AF45" s="109"/>
      <c r="AG45" s="107"/>
      <c r="AH45" s="111"/>
      <c r="AI45" s="111"/>
      <c r="AJ45" s="131" t="str">
        <f t="shared" ca="1" si="1"/>
        <v/>
      </c>
      <c r="AK45" s="102"/>
      <c r="AL45" s="102"/>
      <c r="AM45" s="105"/>
      <c r="AN45" s="105"/>
      <c r="AO45" s="105"/>
      <c r="AP45" s="109"/>
      <c r="AQ45" s="112"/>
      <c r="AR45" s="102"/>
      <c r="AS45" s="102"/>
      <c r="AT45" s="113"/>
      <c r="AU45" s="108"/>
      <c r="AV45" s="107"/>
      <c r="AW45" s="109"/>
      <c r="AX45" s="115">
        <f t="shared" si="2"/>
        <v>1900</v>
      </c>
      <c r="AY45" s="115">
        <f t="shared" si="3"/>
        <v>1900</v>
      </c>
    </row>
    <row r="46" spans="1:51" ht="22.5" customHeight="1">
      <c r="A46" s="102"/>
      <c r="B46" s="102"/>
      <c r="C46" s="102"/>
      <c r="D46" s="102"/>
      <c r="E46" s="102"/>
      <c r="F46" s="102"/>
      <c r="G46" s="102"/>
      <c r="H46" s="102"/>
      <c r="I46" s="102"/>
      <c r="J46" s="102"/>
      <c r="K46" s="104"/>
      <c r="L46" s="63" t="str">
        <f t="shared" ca="1" si="0"/>
        <v/>
      </c>
      <c r="M46" s="104"/>
      <c r="N46" s="105"/>
      <c r="O46" s="104"/>
      <c r="P46" s="102"/>
      <c r="Q46" s="102"/>
      <c r="R46" s="106"/>
      <c r="S46" s="107"/>
      <c r="T46" s="102"/>
      <c r="U46" s="102"/>
      <c r="V46" s="102"/>
      <c r="W46" s="102"/>
      <c r="X46" s="102"/>
      <c r="Y46" s="102"/>
      <c r="Z46" s="102"/>
      <c r="AA46" s="102"/>
      <c r="AB46" s="105"/>
      <c r="AC46" s="109"/>
      <c r="AD46" s="107"/>
      <c r="AE46" s="102"/>
      <c r="AF46" s="109"/>
      <c r="AG46" s="107"/>
      <c r="AH46" s="111"/>
      <c r="AI46" s="111"/>
      <c r="AJ46" s="131" t="str">
        <f t="shared" ca="1" si="1"/>
        <v/>
      </c>
      <c r="AK46" s="102"/>
      <c r="AL46" s="102"/>
      <c r="AM46" s="105"/>
      <c r="AN46" s="105"/>
      <c r="AO46" s="105"/>
      <c r="AP46" s="109"/>
      <c r="AQ46" s="112"/>
      <c r="AR46" s="102"/>
      <c r="AS46" s="102"/>
      <c r="AT46" s="113"/>
      <c r="AU46" s="108"/>
      <c r="AV46" s="107"/>
      <c r="AW46" s="109"/>
      <c r="AX46" s="115">
        <f t="shared" si="2"/>
        <v>1900</v>
      </c>
      <c r="AY46" s="115">
        <f t="shared" si="3"/>
        <v>1900</v>
      </c>
    </row>
    <row r="47" spans="1:51" ht="22.5" customHeight="1">
      <c r="A47" s="102"/>
      <c r="B47" s="102"/>
      <c r="C47" s="102"/>
      <c r="D47" s="102"/>
      <c r="E47" s="102"/>
      <c r="F47" s="102"/>
      <c r="G47" s="102"/>
      <c r="H47" s="102"/>
      <c r="I47" s="102"/>
      <c r="J47" s="102"/>
      <c r="K47" s="104"/>
      <c r="L47" s="63" t="str">
        <f t="shared" ca="1" si="0"/>
        <v/>
      </c>
      <c r="M47" s="104"/>
      <c r="N47" s="105"/>
      <c r="O47" s="104"/>
      <c r="P47" s="102"/>
      <c r="Q47" s="102"/>
      <c r="R47" s="106"/>
      <c r="S47" s="107"/>
      <c r="T47" s="102"/>
      <c r="U47" s="102"/>
      <c r="V47" s="102"/>
      <c r="W47" s="102"/>
      <c r="X47" s="102"/>
      <c r="Y47" s="102"/>
      <c r="Z47" s="102"/>
      <c r="AA47" s="102"/>
      <c r="AB47" s="105"/>
      <c r="AC47" s="109"/>
      <c r="AD47" s="107"/>
      <c r="AE47" s="102"/>
      <c r="AF47" s="109"/>
      <c r="AG47" s="107"/>
      <c r="AH47" s="111"/>
      <c r="AI47" s="111"/>
      <c r="AJ47" s="131" t="str">
        <f t="shared" ca="1" si="1"/>
        <v/>
      </c>
      <c r="AK47" s="102"/>
      <c r="AL47" s="102"/>
      <c r="AM47" s="105"/>
      <c r="AN47" s="105"/>
      <c r="AO47" s="105"/>
      <c r="AP47" s="109"/>
      <c r="AQ47" s="112"/>
      <c r="AR47" s="102"/>
      <c r="AS47" s="102"/>
      <c r="AT47" s="113"/>
      <c r="AU47" s="108"/>
      <c r="AV47" s="107"/>
      <c r="AW47" s="109"/>
      <c r="AX47" s="115">
        <f t="shared" si="2"/>
        <v>1900</v>
      </c>
      <c r="AY47" s="115">
        <f t="shared" si="3"/>
        <v>1900</v>
      </c>
    </row>
    <row r="48" spans="1:51" ht="22.5" customHeight="1">
      <c r="A48" s="102"/>
      <c r="B48" s="102"/>
      <c r="C48" s="102"/>
      <c r="D48" s="102"/>
      <c r="E48" s="102"/>
      <c r="F48" s="102"/>
      <c r="G48" s="102"/>
      <c r="H48" s="102"/>
      <c r="I48" s="102"/>
      <c r="J48" s="102"/>
      <c r="K48" s="104"/>
      <c r="L48" s="63" t="str">
        <f t="shared" ca="1" si="0"/>
        <v/>
      </c>
      <c r="M48" s="104"/>
      <c r="N48" s="105"/>
      <c r="O48" s="104"/>
      <c r="P48" s="102"/>
      <c r="Q48" s="102"/>
      <c r="R48" s="106"/>
      <c r="S48" s="107"/>
      <c r="T48" s="102"/>
      <c r="U48" s="102"/>
      <c r="V48" s="102"/>
      <c r="W48" s="102"/>
      <c r="X48" s="102"/>
      <c r="Y48" s="102"/>
      <c r="Z48" s="102"/>
      <c r="AA48" s="102"/>
      <c r="AB48" s="105"/>
      <c r="AC48" s="105"/>
      <c r="AD48" s="108"/>
      <c r="AE48" s="102"/>
      <c r="AF48" s="109"/>
      <c r="AG48" s="107"/>
      <c r="AH48" s="111"/>
      <c r="AI48" s="111"/>
      <c r="AJ48" s="131" t="str">
        <f t="shared" ca="1" si="1"/>
        <v/>
      </c>
      <c r="AK48" s="102"/>
      <c r="AL48" s="102"/>
      <c r="AM48" s="105"/>
      <c r="AN48" s="105"/>
      <c r="AO48" s="105"/>
      <c r="AP48" s="109"/>
      <c r="AQ48" s="112"/>
      <c r="AR48" s="102"/>
      <c r="AS48" s="102"/>
      <c r="AT48" s="113"/>
      <c r="AU48" s="108"/>
      <c r="AV48" s="107"/>
      <c r="AW48" s="109"/>
      <c r="AX48" s="115">
        <f t="shared" si="2"/>
        <v>1900</v>
      </c>
      <c r="AY48" s="115">
        <f t="shared" si="3"/>
        <v>1900</v>
      </c>
    </row>
    <row r="49" spans="1:51" ht="22.5" customHeight="1">
      <c r="A49" s="102"/>
      <c r="B49" s="102"/>
      <c r="C49" s="102"/>
      <c r="D49" s="102"/>
      <c r="E49" s="102"/>
      <c r="F49" s="102"/>
      <c r="G49" s="102"/>
      <c r="H49" s="102"/>
      <c r="I49" s="102"/>
      <c r="J49" s="102"/>
      <c r="K49" s="104"/>
      <c r="L49" s="63" t="str">
        <f t="shared" ca="1" si="0"/>
        <v/>
      </c>
      <c r="M49" s="104"/>
      <c r="N49" s="105"/>
      <c r="O49" s="104"/>
      <c r="P49" s="102"/>
      <c r="Q49" s="102"/>
      <c r="R49" s="106"/>
      <c r="S49" s="107"/>
      <c r="T49" s="102"/>
      <c r="U49" s="102"/>
      <c r="V49" s="102"/>
      <c r="W49" s="102"/>
      <c r="X49" s="102"/>
      <c r="Y49" s="102"/>
      <c r="Z49" s="102"/>
      <c r="AA49" s="102"/>
      <c r="AB49" s="105"/>
      <c r="AC49" s="105"/>
      <c r="AD49" s="108"/>
      <c r="AE49" s="102"/>
      <c r="AF49" s="109"/>
      <c r="AG49" s="107"/>
      <c r="AH49" s="111"/>
      <c r="AI49" s="111"/>
      <c r="AJ49" s="131" t="str">
        <f t="shared" ca="1" si="1"/>
        <v/>
      </c>
      <c r="AK49" s="102"/>
      <c r="AL49" s="102"/>
      <c r="AM49" s="105"/>
      <c r="AN49" s="105"/>
      <c r="AO49" s="105"/>
      <c r="AP49" s="109"/>
      <c r="AQ49" s="112"/>
      <c r="AR49" s="102"/>
      <c r="AS49" s="102"/>
      <c r="AT49" s="113"/>
      <c r="AU49" s="108"/>
      <c r="AV49" s="107"/>
      <c r="AW49" s="109"/>
      <c r="AX49" s="115">
        <f t="shared" si="2"/>
        <v>1900</v>
      </c>
      <c r="AY49" s="115">
        <f t="shared" si="3"/>
        <v>1900</v>
      </c>
    </row>
    <row r="50" spans="1:51" ht="22.5" customHeight="1">
      <c r="A50" s="102"/>
      <c r="B50" s="102"/>
      <c r="C50" s="102"/>
      <c r="D50" s="102"/>
      <c r="E50" s="102"/>
      <c r="F50" s="102"/>
      <c r="G50" s="102"/>
      <c r="H50" s="102"/>
      <c r="I50" s="102"/>
      <c r="J50" s="102"/>
      <c r="K50" s="104"/>
      <c r="L50" s="63" t="str">
        <f t="shared" ca="1" si="0"/>
        <v/>
      </c>
      <c r="M50" s="104"/>
      <c r="N50" s="105"/>
      <c r="O50" s="104"/>
      <c r="P50" s="102"/>
      <c r="Q50" s="102"/>
      <c r="R50" s="106"/>
      <c r="S50" s="107"/>
      <c r="T50" s="102"/>
      <c r="U50" s="102"/>
      <c r="V50" s="102"/>
      <c r="W50" s="102"/>
      <c r="X50" s="102"/>
      <c r="Y50" s="102"/>
      <c r="Z50" s="102"/>
      <c r="AA50" s="102"/>
      <c r="AB50" s="105"/>
      <c r="AC50" s="105"/>
      <c r="AD50" s="108"/>
      <c r="AE50" s="102"/>
      <c r="AF50" s="109"/>
      <c r="AG50" s="107"/>
      <c r="AH50" s="111"/>
      <c r="AI50" s="111"/>
      <c r="AJ50" s="131" t="str">
        <f t="shared" ca="1" si="1"/>
        <v/>
      </c>
      <c r="AK50" s="102"/>
      <c r="AL50" s="102"/>
      <c r="AM50" s="105"/>
      <c r="AN50" s="105"/>
      <c r="AO50" s="105"/>
      <c r="AP50" s="109"/>
      <c r="AQ50" s="112"/>
      <c r="AR50" s="102"/>
      <c r="AS50" s="102"/>
      <c r="AT50" s="113"/>
      <c r="AU50" s="108"/>
      <c r="AV50" s="107"/>
      <c r="AW50" s="109"/>
      <c r="AX50" s="115">
        <f t="shared" si="2"/>
        <v>1900</v>
      </c>
      <c r="AY50" s="115">
        <f t="shared" si="3"/>
        <v>1900</v>
      </c>
    </row>
    <row r="51" spans="1:51" ht="22.5" customHeight="1">
      <c r="A51" s="102"/>
      <c r="B51" s="102"/>
      <c r="C51" s="102"/>
      <c r="D51" s="102"/>
      <c r="E51" s="102"/>
      <c r="F51" s="102"/>
      <c r="G51" s="102"/>
      <c r="H51" s="102"/>
      <c r="I51" s="102"/>
      <c r="J51" s="102"/>
      <c r="K51" s="104"/>
      <c r="L51" s="63" t="str">
        <f t="shared" ca="1" si="0"/>
        <v/>
      </c>
      <c r="M51" s="104"/>
      <c r="N51" s="105"/>
      <c r="O51" s="104"/>
      <c r="P51" s="102"/>
      <c r="Q51" s="102"/>
      <c r="R51" s="106"/>
      <c r="S51" s="107"/>
      <c r="T51" s="102"/>
      <c r="U51" s="102"/>
      <c r="V51" s="102"/>
      <c r="W51" s="102"/>
      <c r="X51" s="102"/>
      <c r="Y51" s="102"/>
      <c r="Z51" s="102"/>
      <c r="AA51" s="102"/>
      <c r="AB51" s="105"/>
      <c r="AC51" s="109"/>
      <c r="AD51" s="107"/>
      <c r="AE51" s="102"/>
      <c r="AF51" s="109"/>
      <c r="AG51" s="107"/>
      <c r="AH51" s="111"/>
      <c r="AI51" s="111"/>
      <c r="AJ51" s="131" t="str">
        <f t="shared" ca="1" si="1"/>
        <v/>
      </c>
      <c r="AK51" s="102"/>
      <c r="AL51" s="102"/>
      <c r="AM51" s="105"/>
      <c r="AN51" s="105"/>
      <c r="AO51" s="105"/>
      <c r="AP51" s="109"/>
      <c r="AQ51" s="112"/>
      <c r="AR51" s="102"/>
      <c r="AS51" s="102"/>
      <c r="AT51" s="113"/>
      <c r="AU51" s="114"/>
      <c r="AV51" s="111"/>
      <c r="AW51" s="109"/>
      <c r="AX51" s="115">
        <f t="shared" si="2"/>
        <v>1900</v>
      </c>
      <c r="AY51" s="115">
        <f t="shared" si="3"/>
        <v>1900</v>
      </c>
    </row>
    <row r="52" spans="1:51" ht="22.5" customHeight="1">
      <c r="A52" s="102"/>
      <c r="B52" s="102"/>
      <c r="C52" s="102"/>
      <c r="D52" s="102"/>
      <c r="E52" s="102"/>
      <c r="F52" s="102"/>
      <c r="G52" s="102"/>
      <c r="H52" s="102"/>
      <c r="I52" s="102"/>
      <c r="J52" s="102"/>
      <c r="K52" s="104"/>
      <c r="L52" s="63" t="str">
        <f t="shared" ca="1" si="0"/>
        <v/>
      </c>
      <c r="M52" s="104"/>
      <c r="N52" s="105"/>
      <c r="O52" s="104"/>
      <c r="P52" s="102"/>
      <c r="Q52" s="102"/>
      <c r="R52" s="106"/>
      <c r="S52" s="107"/>
      <c r="T52" s="102"/>
      <c r="U52" s="102"/>
      <c r="V52" s="102"/>
      <c r="W52" s="102"/>
      <c r="X52" s="102"/>
      <c r="Y52" s="102"/>
      <c r="Z52" s="102"/>
      <c r="AA52" s="102"/>
      <c r="AB52" s="105"/>
      <c r="AC52" s="109"/>
      <c r="AD52" s="107"/>
      <c r="AE52" s="102"/>
      <c r="AF52" s="109"/>
      <c r="AG52" s="107"/>
      <c r="AH52" s="111"/>
      <c r="AI52" s="111"/>
      <c r="AJ52" s="131" t="str">
        <f t="shared" ca="1" si="1"/>
        <v/>
      </c>
      <c r="AK52" s="102"/>
      <c r="AL52" s="102"/>
      <c r="AM52" s="105"/>
      <c r="AN52" s="105"/>
      <c r="AO52" s="105"/>
      <c r="AP52" s="109"/>
      <c r="AQ52" s="112"/>
      <c r="AR52" s="102"/>
      <c r="AS52" s="102"/>
      <c r="AT52" s="113"/>
      <c r="AU52" s="114"/>
      <c r="AV52" s="111"/>
      <c r="AW52" s="109"/>
      <c r="AX52" s="115">
        <f t="shared" si="2"/>
        <v>1900</v>
      </c>
      <c r="AY52" s="115">
        <f t="shared" si="3"/>
        <v>1900</v>
      </c>
    </row>
    <row r="53" spans="1:51" ht="22.5" customHeight="1">
      <c r="A53" s="102"/>
      <c r="B53" s="102"/>
      <c r="C53" s="102"/>
      <c r="D53" s="102"/>
      <c r="E53" s="102"/>
      <c r="F53" s="102"/>
      <c r="G53" s="102"/>
      <c r="H53" s="102"/>
      <c r="I53" s="102"/>
      <c r="J53" s="102"/>
      <c r="K53" s="104"/>
      <c r="L53" s="63" t="str">
        <f t="shared" ca="1" si="0"/>
        <v/>
      </c>
      <c r="M53" s="104"/>
      <c r="N53" s="105"/>
      <c r="O53" s="104"/>
      <c r="P53" s="102"/>
      <c r="Q53" s="102"/>
      <c r="R53" s="106"/>
      <c r="S53" s="107"/>
      <c r="T53" s="102"/>
      <c r="U53" s="102"/>
      <c r="V53" s="102"/>
      <c r="W53" s="102"/>
      <c r="X53" s="102"/>
      <c r="Y53" s="102"/>
      <c r="Z53" s="102"/>
      <c r="AA53" s="102"/>
      <c r="AB53" s="105"/>
      <c r="AC53" s="109"/>
      <c r="AD53" s="107"/>
      <c r="AE53" s="102"/>
      <c r="AF53" s="109"/>
      <c r="AG53" s="107"/>
      <c r="AH53" s="111"/>
      <c r="AI53" s="107"/>
      <c r="AJ53" s="131" t="str">
        <f t="shared" ca="1" si="1"/>
        <v/>
      </c>
      <c r="AK53" s="102"/>
      <c r="AL53" s="102"/>
      <c r="AM53" s="105"/>
      <c r="AN53" s="105"/>
      <c r="AO53" s="105"/>
      <c r="AP53" s="109"/>
      <c r="AQ53" s="112"/>
      <c r="AR53" s="102"/>
      <c r="AS53" s="102"/>
      <c r="AT53" s="113"/>
      <c r="AU53" s="108"/>
      <c r="AV53" s="107"/>
      <c r="AW53" s="109"/>
      <c r="AX53" s="115">
        <f t="shared" si="2"/>
        <v>1900</v>
      </c>
      <c r="AY53" s="115">
        <f t="shared" si="3"/>
        <v>1900</v>
      </c>
    </row>
    <row r="54" spans="1:51" ht="22.5" customHeight="1">
      <c r="A54" s="102"/>
      <c r="B54" s="102"/>
      <c r="C54" s="102"/>
      <c r="D54" s="102"/>
      <c r="E54" s="102"/>
      <c r="F54" s="102"/>
      <c r="G54" s="102"/>
      <c r="H54" s="102"/>
      <c r="I54" s="102"/>
      <c r="J54" s="102"/>
      <c r="K54" s="104"/>
      <c r="L54" s="63" t="str">
        <f t="shared" ca="1" si="0"/>
        <v/>
      </c>
      <c r="M54" s="104"/>
      <c r="N54" s="105"/>
      <c r="O54" s="104"/>
      <c r="P54" s="102"/>
      <c r="Q54" s="102"/>
      <c r="R54" s="106"/>
      <c r="S54" s="107"/>
      <c r="T54" s="102"/>
      <c r="U54" s="102"/>
      <c r="V54" s="102"/>
      <c r="W54" s="102"/>
      <c r="X54" s="102"/>
      <c r="Y54" s="102"/>
      <c r="Z54" s="102"/>
      <c r="AA54" s="102"/>
      <c r="AB54" s="105"/>
      <c r="AC54" s="109"/>
      <c r="AD54" s="107"/>
      <c r="AE54" s="102"/>
      <c r="AF54" s="109"/>
      <c r="AG54" s="107"/>
      <c r="AH54" s="111"/>
      <c r="AI54" s="111"/>
      <c r="AJ54" s="131" t="str">
        <f t="shared" ca="1" si="1"/>
        <v/>
      </c>
      <c r="AK54" s="102"/>
      <c r="AL54" s="102"/>
      <c r="AM54" s="105"/>
      <c r="AN54" s="105"/>
      <c r="AO54" s="105"/>
      <c r="AP54" s="109"/>
      <c r="AQ54" s="112"/>
      <c r="AR54" s="102"/>
      <c r="AS54" s="102"/>
      <c r="AT54" s="113"/>
      <c r="AU54" s="108"/>
      <c r="AV54" s="107"/>
      <c r="AW54" s="109"/>
      <c r="AX54" s="115">
        <f t="shared" si="2"/>
        <v>1900</v>
      </c>
      <c r="AY54" s="115">
        <f t="shared" si="3"/>
        <v>1900</v>
      </c>
    </row>
    <row r="55" spans="1:51" ht="22.5" customHeight="1">
      <c r="A55" s="102"/>
      <c r="B55" s="102"/>
      <c r="C55" s="102"/>
      <c r="D55" s="102"/>
      <c r="E55" s="102"/>
      <c r="F55" s="102"/>
      <c r="G55" s="102"/>
      <c r="H55" s="102"/>
      <c r="I55" s="102"/>
      <c r="J55" s="102"/>
      <c r="K55" s="104"/>
      <c r="L55" s="63" t="str">
        <f t="shared" ref="L55:L104" ca="1" si="4">IF(K55="","",ROUNDDOWN(YEARFRAC(K55, TODAY(), 1), 0))</f>
        <v/>
      </c>
      <c r="M55" s="104"/>
      <c r="N55" s="105"/>
      <c r="O55" s="104"/>
      <c r="P55" s="102"/>
      <c r="Q55" s="102"/>
      <c r="R55" s="106"/>
      <c r="S55" s="107"/>
      <c r="T55" s="102"/>
      <c r="U55" s="102"/>
      <c r="V55" s="102"/>
      <c r="W55" s="102"/>
      <c r="X55" s="102"/>
      <c r="Y55" s="102"/>
      <c r="Z55" s="102"/>
      <c r="AA55" s="102"/>
      <c r="AB55" s="105"/>
      <c r="AC55" s="105"/>
      <c r="AD55" s="108"/>
      <c r="AE55" s="102"/>
      <c r="AF55" s="109"/>
      <c r="AG55" s="107"/>
      <c r="AH55" s="111"/>
      <c r="AI55" s="111"/>
      <c r="AJ55" s="131" t="str">
        <f t="shared" ca="1" si="1"/>
        <v/>
      </c>
      <c r="AK55" s="102"/>
      <c r="AL55" s="102"/>
      <c r="AM55" s="105"/>
      <c r="AN55" s="105"/>
      <c r="AO55" s="105"/>
      <c r="AP55" s="109"/>
      <c r="AQ55" s="112"/>
      <c r="AR55" s="102"/>
      <c r="AS55" s="102"/>
      <c r="AT55" s="113"/>
      <c r="AU55" s="114"/>
      <c r="AV55" s="107"/>
      <c r="AW55" s="109"/>
      <c r="AX55" s="115">
        <f t="shared" ref="AX55:AX104" si="5">YEAR(AH55)</f>
        <v>1900</v>
      </c>
      <c r="AY55" s="115">
        <f t="shared" ref="AY55:AY104" si="6">YEAR(AU55)</f>
        <v>1900</v>
      </c>
    </row>
    <row r="56" spans="1:51" ht="22.5" customHeight="1">
      <c r="A56" s="102"/>
      <c r="B56" s="102"/>
      <c r="C56" s="102"/>
      <c r="D56" s="102"/>
      <c r="E56" s="102"/>
      <c r="F56" s="102"/>
      <c r="G56" s="102"/>
      <c r="H56" s="102"/>
      <c r="I56" s="102"/>
      <c r="J56" s="102"/>
      <c r="K56" s="104"/>
      <c r="L56" s="63" t="str">
        <f t="shared" ca="1" si="4"/>
        <v/>
      </c>
      <c r="M56" s="104"/>
      <c r="N56" s="105"/>
      <c r="O56" s="104"/>
      <c r="P56" s="102"/>
      <c r="Q56" s="102"/>
      <c r="R56" s="106"/>
      <c r="S56" s="107"/>
      <c r="T56" s="102"/>
      <c r="U56" s="102"/>
      <c r="V56" s="102"/>
      <c r="W56" s="102"/>
      <c r="X56" s="102"/>
      <c r="Y56" s="102"/>
      <c r="Z56" s="102"/>
      <c r="AA56" s="102"/>
      <c r="AB56" s="105"/>
      <c r="AC56" s="105"/>
      <c r="AD56" s="108"/>
      <c r="AE56" s="102"/>
      <c r="AF56" s="109"/>
      <c r="AG56" s="107"/>
      <c r="AH56" s="111"/>
      <c r="AI56" s="111"/>
      <c r="AJ56" s="131" t="str">
        <f t="shared" ca="1" si="1"/>
        <v/>
      </c>
      <c r="AK56" s="102"/>
      <c r="AL56" s="102"/>
      <c r="AM56" s="105"/>
      <c r="AN56" s="105"/>
      <c r="AO56" s="105"/>
      <c r="AP56" s="109"/>
      <c r="AQ56" s="112"/>
      <c r="AR56" s="102"/>
      <c r="AS56" s="102"/>
      <c r="AT56" s="113"/>
      <c r="AU56" s="114"/>
      <c r="AV56" s="107"/>
      <c r="AW56" s="109"/>
      <c r="AX56" s="115">
        <f t="shared" si="5"/>
        <v>1900</v>
      </c>
      <c r="AY56" s="115">
        <f t="shared" si="6"/>
        <v>1900</v>
      </c>
    </row>
    <row r="57" spans="1:51" ht="22.5" customHeight="1">
      <c r="A57" s="102"/>
      <c r="B57" s="102"/>
      <c r="C57" s="102"/>
      <c r="D57" s="102"/>
      <c r="E57" s="102"/>
      <c r="F57" s="102"/>
      <c r="G57" s="102"/>
      <c r="H57" s="102"/>
      <c r="I57" s="102"/>
      <c r="J57" s="102"/>
      <c r="K57" s="104"/>
      <c r="L57" s="63" t="str">
        <f t="shared" ca="1" si="4"/>
        <v/>
      </c>
      <c r="M57" s="104"/>
      <c r="N57" s="105"/>
      <c r="O57" s="104"/>
      <c r="P57" s="102"/>
      <c r="Q57" s="102"/>
      <c r="R57" s="106"/>
      <c r="S57" s="107"/>
      <c r="T57" s="102"/>
      <c r="U57" s="102"/>
      <c r="V57" s="102"/>
      <c r="W57" s="102"/>
      <c r="X57" s="102"/>
      <c r="Y57" s="102"/>
      <c r="Z57" s="102"/>
      <c r="AA57" s="102"/>
      <c r="AB57" s="105"/>
      <c r="AC57" s="105"/>
      <c r="AD57" s="108"/>
      <c r="AE57" s="102"/>
      <c r="AF57" s="109"/>
      <c r="AG57" s="107"/>
      <c r="AH57" s="111"/>
      <c r="AI57" s="111"/>
      <c r="AJ57" s="131" t="str">
        <f t="shared" ca="1" si="1"/>
        <v/>
      </c>
      <c r="AK57" s="102"/>
      <c r="AL57" s="102"/>
      <c r="AM57" s="105"/>
      <c r="AN57" s="105"/>
      <c r="AO57" s="105"/>
      <c r="AP57" s="109"/>
      <c r="AQ57" s="112"/>
      <c r="AR57" s="102"/>
      <c r="AS57" s="102"/>
      <c r="AT57" s="113"/>
      <c r="AU57" s="114"/>
      <c r="AV57" s="107"/>
      <c r="AW57" s="109"/>
      <c r="AX57" s="115">
        <f t="shared" si="5"/>
        <v>1900</v>
      </c>
      <c r="AY57" s="115">
        <f t="shared" si="6"/>
        <v>1900</v>
      </c>
    </row>
    <row r="58" spans="1:51" ht="22.5" customHeight="1">
      <c r="A58" s="102"/>
      <c r="B58" s="102"/>
      <c r="C58" s="102"/>
      <c r="D58" s="102"/>
      <c r="E58" s="102"/>
      <c r="F58" s="102"/>
      <c r="G58" s="102"/>
      <c r="H58" s="102"/>
      <c r="I58" s="102"/>
      <c r="J58" s="102"/>
      <c r="K58" s="104"/>
      <c r="L58" s="63" t="str">
        <f t="shared" ca="1" si="4"/>
        <v/>
      </c>
      <c r="M58" s="104"/>
      <c r="N58" s="105"/>
      <c r="O58" s="104"/>
      <c r="P58" s="102"/>
      <c r="Q58" s="102"/>
      <c r="R58" s="106"/>
      <c r="S58" s="107"/>
      <c r="T58" s="102"/>
      <c r="U58" s="102"/>
      <c r="V58" s="102"/>
      <c r="W58" s="102"/>
      <c r="X58" s="102"/>
      <c r="Y58" s="102"/>
      <c r="Z58" s="102"/>
      <c r="AA58" s="102"/>
      <c r="AB58" s="105"/>
      <c r="AC58" s="105"/>
      <c r="AD58" s="108"/>
      <c r="AE58" s="102"/>
      <c r="AF58" s="109"/>
      <c r="AG58" s="107"/>
      <c r="AH58" s="111"/>
      <c r="AI58" s="111"/>
      <c r="AJ58" s="131" t="str">
        <f t="shared" ca="1" si="1"/>
        <v/>
      </c>
      <c r="AK58" s="102"/>
      <c r="AL58" s="102"/>
      <c r="AM58" s="116"/>
      <c r="AN58" s="105"/>
      <c r="AO58" s="105"/>
      <c r="AP58" s="109"/>
      <c r="AQ58" s="112"/>
      <c r="AR58" s="102"/>
      <c r="AS58" s="102"/>
      <c r="AT58" s="113"/>
      <c r="AU58" s="114"/>
      <c r="AV58" s="107"/>
      <c r="AW58" s="109"/>
      <c r="AX58" s="115">
        <f t="shared" si="5"/>
        <v>1900</v>
      </c>
      <c r="AY58" s="115">
        <f t="shared" si="6"/>
        <v>1900</v>
      </c>
    </row>
    <row r="59" spans="1:51" ht="22.5" customHeight="1">
      <c r="A59" s="102"/>
      <c r="B59" s="102"/>
      <c r="C59" s="102"/>
      <c r="D59" s="102"/>
      <c r="E59" s="102"/>
      <c r="F59" s="102"/>
      <c r="G59" s="102"/>
      <c r="H59" s="102"/>
      <c r="I59" s="102"/>
      <c r="J59" s="102"/>
      <c r="K59" s="104"/>
      <c r="L59" s="63" t="str">
        <f t="shared" ca="1" si="4"/>
        <v/>
      </c>
      <c r="M59" s="104"/>
      <c r="N59" s="105"/>
      <c r="O59" s="104"/>
      <c r="P59" s="102"/>
      <c r="Q59" s="102"/>
      <c r="R59" s="106"/>
      <c r="S59" s="107"/>
      <c r="T59" s="102"/>
      <c r="U59" s="102"/>
      <c r="V59" s="102"/>
      <c r="W59" s="102"/>
      <c r="X59" s="102"/>
      <c r="Y59" s="102"/>
      <c r="Z59" s="102"/>
      <c r="AA59" s="102"/>
      <c r="AB59" s="105"/>
      <c r="AC59" s="105"/>
      <c r="AD59" s="108"/>
      <c r="AE59" s="102"/>
      <c r="AF59" s="109"/>
      <c r="AG59" s="107"/>
      <c r="AH59" s="111"/>
      <c r="AI59" s="111"/>
      <c r="AJ59" s="131" t="str">
        <f t="shared" ca="1" si="1"/>
        <v/>
      </c>
      <c r="AK59" s="102"/>
      <c r="AL59" s="102"/>
      <c r="AM59" s="105"/>
      <c r="AN59" s="105"/>
      <c r="AO59" s="105"/>
      <c r="AP59" s="109"/>
      <c r="AQ59" s="112"/>
      <c r="AR59" s="102"/>
      <c r="AS59" s="102"/>
      <c r="AT59" s="113"/>
      <c r="AU59" s="114"/>
      <c r="AV59" s="107"/>
      <c r="AW59" s="109"/>
      <c r="AX59" s="115">
        <f t="shared" si="5"/>
        <v>1900</v>
      </c>
      <c r="AY59" s="115">
        <f t="shared" si="6"/>
        <v>1900</v>
      </c>
    </row>
    <row r="60" spans="1:51" ht="22.5" customHeight="1">
      <c r="A60" s="102"/>
      <c r="B60" s="102"/>
      <c r="C60" s="102"/>
      <c r="D60" s="102"/>
      <c r="E60" s="102"/>
      <c r="F60" s="102"/>
      <c r="G60" s="102"/>
      <c r="H60" s="102"/>
      <c r="I60" s="102"/>
      <c r="J60" s="102"/>
      <c r="K60" s="104"/>
      <c r="L60" s="63" t="str">
        <f t="shared" ca="1" si="4"/>
        <v/>
      </c>
      <c r="M60" s="104"/>
      <c r="N60" s="105"/>
      <c r="O60" s="104"/>
      <c r="P60" s="102"/>
      <c r="Q60" s="102"/>
      <c r="R60" s="106"/>
      <c r="S60" s="107"/>
      <c r="T60" s="102"/>
      <c r="U60" s="102"/>
      <c r="V60" s="102"/>
      <c r="W60" s="102"/>
      <c r="X60" s="102"/>
      <c r="Y60" s="102"/>
      <c r="Z60" s="102"/>
      <c r="AA60" s="102"/>
      <c r="AB60" s="105"/>
      <c r="AC60" s="105"/>
      <c r="AD60" s="108"/>
      <c r="AE60" s="102"/>
      <c r="AF60" s="109"/>
      <c r="AG60" s="107"/>
      <c r="AH60" s="111"/>
      <c r="AI60" s="111"/>
      <c r="AJ60" s="131" t="str">
        <f t="shared" ca="1" si="1"/>
        <v/>
      </c>
      <c r="AK60" s="102"/>
      <c r="AL60" s="102"/>
      <c r="AM60" s="105"/>
      <c r="AN60" s="105"/>
      <c r="AO60" s="105"/>
      <c r="AP60" s="109"/>
      <c r="AQ60" s="112"/>
      <c r="AR60" s="102"/>
      <c r="AS60" s="102"/>
      <c r="AT60" s="113"/>
      <c r="AU60" s="114"/>
      <c r="AV60" s="107"/>
      <c r="AW60" s="109"/>
      <c r="AX60" s="115">
        <f t="shared" si="5"/>
        <v>1900</v>
      </c>
      <c r="AY60" s="115">
        <f t="shared" si="6"/>
        <v>1900</v>
      </c>
    </row>
    <row r="61" spans="1:51" ht="22.5" customHeight="1">
      <c r="A61" s="102"/>
      <c r="B61" s="102"/>
      <c r="C61" s="102"/>
      <c r="D61" s="102"/>
      <c r="E61" s="102"/>
      <c r="F61" s="102"/>
      <c r="G61" s="102"/>
      <c r="H61" s="102"/>
      <c r="I61" s="102"/>
      <c r="J61" s="102"/>
      <c r="K61" s="104"/>
      <c r="L61" s="63" t="str">
        <f t="shared" ca="1" si="4"/>
        <v/>
      </c>
      <c r="M61" s="104"/>
      <c r="N61" s="105"/>
      <c r="O61" s="104"/>
      <c r="P61" s="102"/>
      <c r="Q61" s="102"/>
      <c r="R61" s="106"/>
      <c r="S61" s="107"/>
      <c r="T61" s="102"/>
      <c r="U61" s="102"/>
      <c r="V61" s="102"/>
      <c r="W61" s="102"/>
      <c r="X61" s="102"/>
      <c r="Y61" s="102"/>
      <c r="Z61" s="102"/>
      <c r="AA61" s="102"/>
      <c r="AB61" s="105"/>
      <c r="AC61" s="105"/>
      <c r="AD61" s="108"/>
      <c r="AE61" s="102"/>
      <c r="AF61" s="109"/>
      <c r="AG61" s="107"/>
      <c r="AH61" s="111"/>
      <c r="AI61" s="111"/>
      <c r="AJ61" s="131" t="str">
        <f t="shared" ca="1" si="1"/>
        <v/>
      </c>
      <c r="AK61" s="102"/>
      <c r="AL61" s="102"/>
      <c r="AM61" s="105"/>
      <c r="AN61" s="105"/>
      <c r="AO61" s="105"/>
      <c r="AP61" s="109"/>
      <c r="AQ61" s="112"/>
      <c r="AR61" s="102"/>
      <c r="AS61" s="102"/>
      <c r="AT61" s="113"/>
      <c r="AU61" s="114"/>
      <c r="AV61" s="107"/>
      <c r="AW61" s="109"/>
      <c r="AX61" s="115">
        <f t="shared" si="5"/>
        <v>1900</v>
      </c>
      <c r="AY61" s="115">
        <f t="shared" si="6"/>
        <v>1900</v>
      </c>
    </row>
    <row r="62" spans="1:51" ht="22.5" customHeight="1">
      <c r="A62" s="102"/>
      <c r="B62" s="102"/>
      <c r="C62" s="102"/>
      <c r="D62" s="102"/>
      <c r="E62" s="102"/>
      <c r="F62" s="102"/>
      <c r="G62" s="102"/>
      <c r="H62" s="102"/>
      <c r="I62" s="102"/>
      <c r="J62" s="102"/>
      <c r="K62" s="104"/>
      <c r="L62" s="63" t="str">
        <f t="shared" ca="1" si="4"/>
        <v/>
      </c>
      <c r="M62" s="104"/>
      <c r="N62" s="105"/>
      <c r="O62" s="104"/>
      <c r="P62" s="102"/>
      <c r="Q62" s="102"/>
      <c r="R62" s="106"/>
      <c r="S62" s="107"/>
      <c r="T62" s="102"/>
      <c r="U62" s="102"/>
      <c r="V62" s="102"/>
      <c r="W62" s="102"/>
      <c r="X62" s="102"/>
      <c r="Y62" s="102"/>
      <c r="Z62" s="102"/>
      <c r="AA62" s="102"/>
      <c r="AB62" s="105"/>
      <c r="AC62" s="105"/>
      <c r="AD62" s="108"/>
      <c r="AE62" s="102"/>
      <c r="AF62" s="109"/>
      <c r="AG62" s="107"/>
      <c r="AH62" s="111"/>
      <c r="AI62" s="111"/>
      <c r="AJ62" s="131" t="str">
        <f t="shared" ca="1" si="1"/>
        <v/>
      </c>
      <c r="AK62" s="102"/>
      <c r="AL62" s="102"/>
      <c r="AM62" s="105"/>
      <c r="AN62" s="105"/>
      <c r="AO62" s="105"/>
      <c r="AP62" s="109"/>
      <c r="AQ62" s="112"/>
      <c r="AR62" s="102"/>
      <c r="AS62" s="102"/>
      <c r="AT62" s="113"/>
      <c r="AU62" s="114"/>
      <c r="AV62" s="111"/>
      <c r="AW62" s="109"/>
      <c r="AX62" s="115">
        <f t="shared" si="5"/>
        <v>1900</v>
      </c>
      <c r="AY62" s="115">
        <f t="shared" si="6"/>
        <v>1900</v>
      </c>
    </row>
    <row r="63" spans="1:51" ht="22.5" customHeight="1">
      <c r="A63" s="102"/>
      <c r="B63" s="102"/>
      <c r="C63" s="102"/>
      <c r="D63" s="102"/>
      <c r="E63" s="102"/>
      <c r="F63" s="102"/>
      <c r="G63" s="102"/>
      <c r="H63" s="102"/>
      <c r="I63" s="102"/>
      <c r="J63" s="102"/>
      <c r="K63" s="104"/>
      <c r="L63" s="63" t="str">
        <f t="shared" ca="1" si="4"/>
        <v/>
      </c>
      <c r="M63" s="104"/>
      <c r="N63" s="105"/>
      <c r="O63" s="104"/>
      <c r="P63" s="102"/>
      <c r="Q63" s="102"/>
      <c r="R63" s="106"/>
      <c r="S63" s="107"/>
      <c r="T63" s="102"/>
      <c r="U63" s="102"/>
      <c r="V63" s="102"/>
      <c r="W63" s="102"/>
      <c r="X63" s="102"/>
      <c r="Y63" s="102"/>
      <c r="Z63" s="102"/>
      <c r="AA63" s="102"/>
      <c r="AB63" s="105"/>
      <c r="AC63" s="105"/>
      <c r="AD63" s="108"/>
      <c r="AE63" s="102"/>
      <c r="AF63" s="109"/>
      <c r="AG63" s="107"/>
      <c r="AH63" s="111"/>
      <c r="AI63" s="111"/>
      <c r="AJ63" s="131" t="str">
        <f t="shared" ca="1" si="1"/>
        <v/>
      </c>
      <c r="AK63" s="102"/>
      <c r="AL63" s="102"/>
      <c r="AM63" s="116"/>
      <c r="AN63" s="105"/>
      <c r="AO63" s="105"/>
      <c r="AP63" s="109"/>
      <c r="AQ63" s="112"/>
      <c r="AR63" s="102"/>
      <c r="AS63" s="102"/>
      <c r="AT63" s="113"/>
      <c r="AU63" s="114"/>
      <c r="AV63" s="111"/>
      <c r="AW63" s="109"/>
      <c r="AX63" s="115">
        <f t="shared" si="5"/>
        <v>1900</v>
      </c>
      <c r="AY63" s="115">
        <f t="shared" si="6"/>
        <v>1900</v>
      </c>
    </row>
    <row r="64" spans="1:51" ht="22.5" customHeight="1">
      <c r="A64" s="102"/>
      <c r="B64" s="102"/>
      <c r="C64" s="102"/>
      <c r="D64" s="102"/>
      <c r="E64" s="102"/>
      <c r="F64" s="102"/>
      <c r="G64" s="102"/>
      <c r="H64" s="102"/>
      <c r="I64" s="102"/>
      <c r="J64" s="102"/>
      <c r="K64" s="104"/>
      <c r="L64" s="63" t="str">
        <f t="shared" ca="1" si="4"/>
        <v/>
      </c>
      <c r="M64" s="104"/>
      <c r="N64" s="105"/>
      <c r="O64" s="104"/>
      <c r="P64" s="102"/>
      <c r="Q64" s="102"/>
      <c r="R64" s="106"/>
      <c r="S64" s="107"/>
      <c r="T64" s="102"/>
      <c r="U64" s="102"/>
      <c r="V64" s="102"/>
      <c r="W64" s="102"/>
      <c r="X64" s="102"/>
      <c r="Y64" s="102"/>
      <c r="Z64" s="102"/>
      <c r="AA64" s="102"/>
      <c r="AB64" s="105"/>
      <c r="AC64" s="105"/>
      <c r="AD64" s="108"/>
      <c r="AE64" s="102"/>
      <c r="AF64" s="109"/>
      <c r="AG64" s="107"/>
      <c r="AH64" s="111"/>
      <c r="AI64" s="111"/>
      <c r="AJ64" s="131" t="str">
        <f t="shared" ca="1" si="1"/>
        <v/>
      </c>
      <c r="AK64" s="102"/>
      <c r="AL64" s="102"/>
      <c r="AM64" s="105"/>
      <c r="AN64" s="105"/>
      <c r="AO64" s="105"/>
      <c r="AP64" s="109"/>
      <c r="AQ64" s="112"/>
      <c r="AR64" s="102"/>
      <c r="AS64" s="102"/>
      <c r="AT64" s="113"/>
      <c r="AU64" s="114"/>
      <c r="AV64" s="111"/>
      <c r="AW64" s="109"/>
      <c r="AX64" s="115">
        <f t="shared" si="5"/>
        <v>1900</v>
      </c>
      <c r="AY64" s="115">
        <f t="shared" si="6"/>
        <v>1900</v>
      </c>
    </row>
    <row r="65" spans="1:51" ht="22.5" customHeight="1">
      <c r="A65" s="102"/>
      <c r="B65" s="102"/>
      <c r="C65" s="102"/>
      <c r="D65" s="102"/>
      <c r="E65" s="102"/>
      <c r="F65" s="102"/>
      <c r="G65" s="102"/>
      <c r="H65" s="102"/>
      <c r="I65" s="102"/>
      <c r="J65" s="102"/>
      <c r="K65" s="104"/>
      <c r="L65" s="63" t="str">
        <f t="shared" ca="1" si="4"/>
        <v/>
      </c>
      <c r="M65" s="104"/>
      <c r="N65" s="105"/>
      <c r="O65" s="104"/>
      <c r="P65" s="102"/>
      <c r="Q65" s="102"/>
      <c r="R65" s="106"/>
      <c r="S65" s="107"/>
      <c r="T65" s="102"/>
      <c r="U65" s="102"/>
      <c r="V65" s="102"/>
      <c r="W65" s="102"/>
      <c r="X65" s="102"/>
      <c r="Y65" s="102"/>
      <c r="Z65" s="102"/>
      <c r="AA65" s="102"/>
      <c r="AB65" s="105"/>
      <c r="AC65" s="105"/>
      <c r="AD65" s="108"/>
      <c r="AE65" s="102"/>
      <c r="AF65" s="109"/>
      <c r="AG65" s="107"/>
      <c r="AH65" s="111"/>
      <c r="AI65" s="111"/>
      <c r="AJ65" s="131" t="str">
        <f t="shared" ca="1" si="1"/>
        <v/>
      </c>
      <c r="AK65" s="102"/>
      <c r="AL65" s="102"/>
      <c r="AM65" s="105"/>
      <c r="AN65" s="105"/>
      <c r="AO65" s="105"/>
      <c r="AP65" s="109"/>
      <c r="AQ65" s="112"/>
      <c r="AR65" s="102"/>
      <c r="AS65" s="102"/>
      <c r="AT65" s="113"/>
      <c r="AU65" s="114"/>
      <c r="AV65" s="111"/>
      <c r="AW65" s="109"/>
      <c r="AX65" s="115">
        <f t="shared" si="5"/>
        <v>1900</v>
      </c>
      <c r="AY65" s="115">
        <f t="shared" si="6"/>
        <v>1900</v>
      </c>
    </row>
    <row r="66" spans="1:51" ht="22.5" customHeight="1">
      <c r="A66" s="102"/>
      <c r="B66" s="102"/>
      <c r="C66" s="102"/>
      <c r="D66" s="102"/>
      <c r="E66" s="102"/>
      <c r="F66" s="102"/>
      <c r="G66" s="102"/>
      <c r="H66" s="102"/>
      <c r="I66" s="102"/>
      <c r="J66" s="102"/>
      <c r="K66" s="104"/>
      <c r="L66" s="63" t="str">
        <f t="shared" ca="1" si="4"/>
        <v/>
      </c>
      <c r="M66" s="104"/>
      <c r="N66" s="105"/>
      <c r="O66" s="104"/>
      <c r="P66" s="102"/>
      <c r="Q66" s="102"/>
      <c r="R66" s="106"/>
      <c r="S66" s="107"/>
      <c r="T66" s="102"/>
      <c r="U66" s="102"/>
      <c r="V66" s="102"/>
      <c r="W66" s="102"/>
      <c r="X66" s="102"/>
      <c r="Y66" s="102"/>
      <c r="Z66" s="102"/>
      <c r="AA66" s="102"/>
      <c r="AB66" s="105"/>
      <c r="AC66" s="105"/>
      <c r="AD66" s="108"/>
      <c r="AE66" s="102"/>
      <c r="AF66" s="109"/>
      <c r="AG66" s="107"/>
      <c r="AH66" s="111"/>
      <c r="AI66" s="111"/>
      <c r="AJ66" s="131" t="str">
        <f t="shared" ca="1" si="1"/>
        <v/>
      </c>
      <c r="AK66" s="102"/>
      <c r="AL66" s="102"/>
      <c r="AM66" s="105"/>
      <c r="AN66" s="105"/>
      <c r="AO66" s="105"/>
      <c r="AP66" s="109"/>
      <c r="AQ66" s="112"/>
      <c r="AR66" s="102"/>
      <c r="AS66" s="102"/>
      <c r="AT66" s="113"/>
      <c r="AU66" s="114"/>
      <c r="AV66" s="111"/>
      <c r="AW66" s="109"/>
      <c r="AX66" s="115">
        <f t="shared" si="5"/>
        <v>1900</v>
      </c>
      <c r="AY66" s="115">
        <f t="shared" si="6"/>
        <v>1900</v>
      </c>
    </row>
    <row r="67" spans="1:51" ht="22.5" customHeight="1">
      <c r="A67" s="102"/>
      <c r="B67" s="102"/>
      <c r="C67" s="102"/>
      <c r="D67" s="102"/>
      <c r="E67" s="102"/>
      <c r="F67" s="102"/>
      <c r="G67" s="102"/>
      <c r="H67" s="102"/>
      <c r="I67" s="102"/>
      <c r="J67" s="102"/>
      <c r="K67" s="104"/>
      <c r="L67" s="63" t="str">
        <f t="shared" ca="1" si="4"/>
        <v/>
      </c>
      <c r="M67" s="104"/>
      <c r="N67" s="105"/>
      <c r="O67" s="104"/>
      <c r="P67" s="102"/>
      <c r="Q67" s="102"/>
      <c r="R67" s="106"/>
      <c r="S67" s="107"/>
      <c r="T67" s="102"/>
      <c r="U67" s="102"/>
      <c r="V67" s="102"/>
      <c r="W67" s="102"/>
      <c r="X67" s="102"/>
      <c r="Y67" s="102"/>
      <c r="Z67" s="102"/>
      <c r="AA67" s="102"/>
      <c r="AB67" s="105"/>
      <c r="AC67" s="105"/>
      <c r="AD67" s="108"/>
      <c r="AE67" s="102"/>
      <c r="AF67" s="109"/>
      <c r="AG67" s="107"/>
      <c r="AH67" s="111"/>
      <c r="AI67" s="111"/>
      <c r="AJ67" s="131" t="str">
        <f t="shared" ca="1" si="1"/>
        <v/>
      </c>
      <c r="AK67" s="102"/>
      <c r="AL67" s="102"/>
      <c r="AM67" s="105"/>
      <c r="AN67" s="105"/>
      <c r="AO67" s="105"/>
      <c r="AP67" s="109"/>
      <c r="AQ67" s="112"/>
      <c r="AR67" s="102"/>
      <c r="AS67" s="102"/>
      <c r="AT67" s="113"/>
      <c r="AU67" s="114"/>
      <c r="AV67" s="111"/>
      <c r="AW67" s="109"/>
      <c r="AX67" s="115">
        <f t="shared" si="5"/>
        <v>1900</v>
      </c>
      <c r="AY67" s="115">
        <f t="shared" si="6"/>
        <v>1900</v>
      </c>
    </row>
    <row r="68" spans="1:51" ht="22.5" customHeight="1">
      <c r="A68" s="102"/>
      <c r="B68" s="102"/>
      <c r="C68" s="102"/>
      <c r="D68" s="102"/>
      <c r="E68" s="102"/>
      <c r="F68" s="102"/>
      <c r="G68" s="102"/>
      <c r="H68" s="102"/>
      <c r="I68" s="102"/>
      <c r="J68" s="102"/>
      <c r="K68" s="104"/>
      <c r="L68" s="63" t="str">
        <f t="shared" ca="1" si="4"/>
        <v/>
      </c>
      <c r="M68" s="104"/>
      <c r="N68" s="105"/>
      <c r="O68" s="104"/>
      <c r="P68" s="102"/>
      <c r="Q68" s="102"/>
      <c r="R68" s="106"/>
      <c r="S68" s="107"/>
      <c r="T68" s="102"/>
      <c r="U68" s="102"/>
      <c r="V68" s="102"/>
      <c r="W68" s="102"/>
      <c r="X68" s="102"/>
      <c r="Y68" s="102"/>
      <c r="Z68" s="102"/>
      <c r="AA68" s="102"/>
      <c r="AB68" s="105"/>
      <c r="AC68" s="105"/>
      <c r="AD68" s="108"/>
      <c r="AE68" s="102"/>
      <c r="AF68" s="109"/>
      <c r="AG68" s="107"/>
      <c r="AH68" s="111"/>
      <c r="AI68" s="111"/>
      <c r="AJ68" s="131" t="str">
        <f t="shared" ca="1" si="1"/>
        <v/>
      </c>
      <c r="AK68" s="102"/>
      <c r="AL68" s="102"/>
      <c r="AM68" s="105"/>
      <c r="AN68" s="105"/>
      <c r="AO68" s="105"/>
      <c r="AP68" s="109"/>
      <c r="AQ68" s="112"/>
      <c r="AR68" s="102"/>
      <c r="AS68" s="102"/>
      <c r="AT68" s="113"/>
      <c r="AU68" s="114"/>
      <c r="AV68" s="111"/>
      <c r="AW68" s="109"/>
      <c r="AX68" s="115">
        <f t="shared" si="5"/>
        <v>1900</v>
      </c>
      <c r="AY68" s="115">
        <f t="shared" si="6"/>
        <v>1900</v>
      </c>
    </row>
    <row r="69" spans="1:51" ht="22.5" customHeight="1">
      <c r="A69" s="102"/>
      <c r="B69" s="102"/>
      <c r="C69" s="102"/>
      <c r="D69" s="102"/>
      <c r="E69" s="102"/>
      <c r="F69" s="102"/>
      <c r="G69" s="102"/>
      <c r="H69" s="102"/>
      <c r="I69" s="102"/>
      <c r="J69" s="102"/>
      <c r="K69" s="104"/>
      <c r="L69" s="63" t="str">
        <f t="shared" ca="1" si="4"/>
        <v/>
      </c>
      <c r="M69" s="104"/>
      <c r="N69" s="105"/>
      <c r="O69" s="104"/>
      <c r="P69" s="102"/>
      <c r="Q69" s="102"/>
      <c r="R69" s="106"/>
      <c r="S69" s="107"/>
      <c r="T69" s="102"/>
      <c r="U69" s="102"/>
      <c r="V69" s="102"/>
      <c r="W69" s="102"/>
      <c r="X69" s="102"/>
      <c r="Y69" s="102"/>
      <c r="Z69" s="102"/>
      <c r="AA69" s="102"/>
      <c r="AB69" s="105"/>
      <c r="AC69" s="105"/>
      <c r="AD69" s="108"/>
      <c r="AE69" s="102"/>
      <c r="AF69" s="109"/>
      <c r="AG69" s="107"/>
      <c r="AH69" s="111"/>
      <c r="AI69" s="111"/>
      <c r="AJ69" s="131" t="str">
        <f t="shared" ca="1" si="1"/>
        <v/>
      </c>
      <c r="AK69" s="102"/>
      <c r="AL69" s="102"/>
      <c r="AM69" s="105"/>
      <c r="AN69" s="105"/>
      <c r="AO69" s="105"/>
      <c r="AP69" s="109"/>
      <c r="AQ69" s="112"/>
      <c r="AR69" s="102"/>
      <c r="AS69" s="102"/>
      <c r="AT69" s="113"/>
      <c r="AU69" s="114"/>
      <c r="AV69" s="107"/>
      <c r="AW69" s="109"/>
      <c r="AX69" s="115">
        <f t="shared" si="5"/>
        <v>1900</v>
      </c>
      <c r="AY69" s="115">
        <f t="shared" si="6"/>
        <v>1900</v>
      </c>
    </row>
    <row r="70" spans="1:51" ht="22.5" customHeight="1">
      <c r="A70" s="102"/>
      <c r="B70" s="102"/>
      <c r="C70" s="102"/>
      <c r="D70" s="102"/>
      <c r="E70" s="102"/>
      <c r="F70" s="102"/>
      <c r="G70" s="102"/>
      <c r="H70" s="102"/>
      <c r="I70" s="102"/>
      <c r="J70" s="102"/>
      <c r="K70" s="104"/>
      <c r="L70" s="63" t="str">
        <f t="shared" ca="1" si="4"/>
        <v/>
      </c>
      <c r="M70" s="104"/>
      <c r="N70" s="105"/>
      <c r="O70" s="104"/>
      <c r="P70" s="102"/>
      <c r="Q70" s="102"/>
      <c r="R70" s="106"/>
      <c r="S70" s="107"/>
      <c r="T70" s="102"/>
      <c r="U70" s="102"/>
      <c r="V70" s="102"/>
      <c r="W70" s="102"/>
      <c r="X70" s="102"/>
      <c r="Y70" s="102"/>
      <c r="Z70" s="102"/>
      <c r="AA70" s="102"/>
      <c r="AB70" s="105"/>
      <c r="AC70" s="105"/>
      <c r="AD70" s="108"/>
      <c r="AE70" s="102"/>
      <c r="AF70" s="109"/>
      <c r="AG70" s="107"/>
      <c r="AH70" s="111"/>
      <c r="AI70" s="111"/>
      <c r="AJ70" s="131" t="str">
        <f t="shared" ca="1" si="1"/>
        <v/>
      </c>
      <c r="AK70" s="102"/>
      <c r="AL70" s="102"/>
      <c r="AM70" s="105"/>
      <c r="AN70" s="105"/>
      <c r="AO70" s="105"/>
      <c r="AP70" s="109"/>
      <c r="AQ70" s="112"/>
      <c r="AR70" s="102"/>
      <c r="AS70" s="102"/>
      <c r="AT70" s="113"/>
      <c r="AU70" s="114"/>
      <c r="AV70" s="107"/>
      <c r="AW70" s="109"/>
      <c r="AX70" s="115">
        <f t="shared" si="5"/>
        <v>1900</v>
      </c>
      <c r="AY70" s="115">
        <f t="shared" si="6"/>
        <v>1900</v>
      </c>
    </row>
    <row r="71" spans="1:51" ht="22.5" customHeight="1">
      <c r="A71" s="102"/>
      <c r="B71" s="102"/>
      <c r="C71" s="102"/>
      <c r="D71" s="102"/>
      <c r="E71" s="102"/>
      <c r="F71" s="102"/>
      <c r="G71" s="102"/>
      <c r="H71" s="102"/>
      <c r="I71" s="102"/>
      <c r="J71" s="102"/>
      <c r="K71" s="104"/>
      <c r="L71" s="63" t="str">
        <f t="shared" ca="1" si="4"/>
        <v/>
      </c>
      <c r="M71" s="104"/>
      <c r="N71" s="105"/>
      <c r="O71" s="104"/>
      <c r="P71" s="102"/>
      <c r="Q71" s="102"/>
      <c r="R71" s="106"/>
      <c r="S71" s="107"/>
      <c r="T71" s="102"/>
      <c r="U71" s="102"/>
      <c r="V71" s="102"/>
      <c r="W71" s="102"/>
      <c r="X71" s="102"/>
      <c r="Y71" s="102"/>
      <c r="Z71" s="102"/>
      <c r="AA71" s="102"/>
      <c r="AB71" s="105"/>
      <c r="AC71" s="109"/>
      <c r="AD71" s="107"/>
      <c r="AE71" s="102"/>
      <c r="AF71" s="109"/>
      <c r="AG71" s="107"/>
      <c r="AH71" s="111"/>
      <c r="AI71" s="111"/>
      <c r="AJ71" s="131" t="str">
        <f t="shared" ca="1" si="1"/>
        <v/>
      </c>
      <c r="AK71" s="102"/>
      <c r="AL71" s="102"/>
      <c r="AM71" s="105"/>
      <c r="AN71" s="105"/>
      <c r="AO71" s="105"/>
      <c r="AP71" s="109"/>
      <c r="AQ71" s="112"/>
      <c r="AR71" s="102"/>
      <c r="AS71" s="102"/>
      <c r="AT71" s="113"/>
      <c r="AU71" s="114"/>
      <c r="AV71" s="107"/>
      <c r="AW71" s="109"/>
      <c r="AX71" s="115">
        <f t="shared" si="5"/>
        <v>1900</v>
      </c>
      <c r="AY71" s="115">
        <f t="shared" si="6"/>
        <v>1900</v>
      </c>
    </row>
    <row r="72" spans="1:51" ht="22.5" customHeight="1">
      <c r="A72" s="102"/>
      <c r="B72" s="102"/>
      <c r="C72" s="102"/>
      <c r="D72" s="102"/>
      <c r="E72" s="102"/>
      <c r="F72" s="102"/>
      <c r="G72" s="102"/>
      <c r="H72" s="102"/>
      <c r="I72" s="102"/>
      <c r="J72" s="102"/>
      <c r="K72" s="104"/>
      <c r="L72" s="63" t="str">
        <f t="shared" ca="1" si="4"/>
        <v/>
      </c>
      <c r="M72" s="104"/>
      <c r="N72" s="105"/>
      <c r="O72" s="104"/>
      <c r="P72" s="102"/>
      <c r="Q72" s="102"/>
      <c r="R72" s="106"/>
      <c r="S72" s="107"/>
      <c r="T72" s="102"/>
      <c r="U72" s="102"/>
      <c r="V72" s="102"/>
      <c r="W72" s="102"/>
      <c r="X72" s="102"/>
      <c r="Y72" s="102"/>
      <c r="Z72" s="102"/>
      <c r="AA72" s="102"/>
      <c r="AB72" s="105"/>
      <c r="AC72" s="109"/>
      <c r="AD72" s="107"/>
      <c r="AE72" s="102"/>
      <c r="AF72" s="109"/>
      <c r="AG72" s="107"/>
      <c r="AH72" s="111"/>
      <c r="AI72" s="111"/>
      <c r="AJ72" s="131" t="str">
        <f t="shared" ca="1" si="1"/>
        <v/>
      </c>
      <c r="AK72" s="102"/>
      <c r="AL72" s="102"/>
      <c r="AM72" s="105"/>
      <c r="AN72" s="105"/>
      <c r="AO72" s="105"/>
      <c r="AP72" s="109"/>
      <c r="AQ72" s="112"/>
      <c r="AR72" s="102"/>
      <c r="AS72" s="102"/>
      <c r="AT72" s="113"/>
      <c r="AU72" s="114"/>
      <c r="AV72" s="107"/>
      <c r="AW72" s="109"/>
      <c r="AX72" s="115">
        <f t="shared" si="5"/>
        <v>1900</v>
      </c>
      <c r="AY72" s="115">
        <f t="shared" si="6"/>
        <v>1900</v>
      </c>
    </row>
    <row r="73" spans="1:51" ht="22.5" customHeight="1">
      <c r="A73" s="102"/>
      <c r="B73" s="102"/>
      <c r="C73" s="102"/>
      <c r="D73" s="102"/>
      <c r="E73" s="102"/>
      <c r="F73" s="102"/>
      <c r="G73" s="102"/>
      <c r="H73" s="102"/>
      <c r="I73" s="102"/>
      <c r="J73" s="102"/>
      <c r="K73" s="104"/>
      <c r="L73" s="63" t="str">
        <f t="shared" ca="1" si="4"/>
        <v/>
      </c>
      <c r="M73" s="104"/>
      <c r="N73" s="105"/>
      <c r="O73" s="104"/>
      <c r="P73" s="102"/>
      <c r="Q73" s="102"/>
      <c r="R73" s="106"/>
      <c r="S73" s="107"/>
      <c r="T73" s="102"/>
      <c r="U73" s="102"/>
      <c r="V73" s="102"/>
      <c r="W73" s="102"/>
      <c r="X73" s="102"/>
      <c r="Y73" s="102"/>
      <c r="Z73" s="102"/>
      <c r="AA73" s="102"/>
      <c r="AB73" s="105"/>
      <c r="AC73" s="105"/>
      <c r="AD73" s="108"/>
      <c r="AE73" s="102"/>
      <c r="AF73" s="109"/>
      <c r="AG73" s="107"/>
      <c r="AH73" s="111"/>
      <c r="AI73" s="111"/>
      <c r="AJ73" s="131" t="str">
        <f t="shared" ca="1" si="1"/>
        <v/>
      </c>
      <c r="AK73" s="102"/>
      <c r="AL73" s="102"/>
      <c r="AM73" s="105"/>
      <c r="AN73" s="105"/>
      <c r="AO73" s="105"/>
      <c r="AP73" s="109"/>
      <c r="AQ73" s="112"/>
      <c r="AR73" s="102"/>
      <c r="AS73" s="102"/>
      <c r="AT73" s="113"/>
      <c r="AU73" s="114"/>
      <c r="AV73" s="107"/>
      <c r="AW73" s="109"/>
      <c r="AX73" s="115">
        <f t="shared" si="5"/>
        <v>1900</v>
      </c>
      <c r="AY73" s="115">
        <f t="shared" si="6"/>
        <v>1900</v>
      </c>
    </row>
    <row r="74" spans="1:51" ht="22.5" customHeight="1">
      <c r="A74" s="102"/>
      <c r="B74" s="102"/>
      <c r="C74" s="102"/>
      <c r="D74" s="102"/>
      <c r="E74" s="102"/>
      <c r="F74" s="102"/>
      <c r="G74" s="102"/>
      <c r="H74" s="102"/>
      <c r="I74" s="102"/>
      <c r="J74" s="102"/>
      <c r="K74" s="104"/>
      <c r="L74" s="63" t="str">
        <f t="shared" ca="1" si="4"/>
        <v/>
      </c>
      <c r="M74" s="104"/>
      <c r="N74" s="105"/>
      <c r="O74" s="104"/>
      <c r="P74" s="102"/>
      <c r="Q74" s="102"/>
      <c r="R74" s="106"/>
      <c r="S74" s="107"/>
      <c r="T74" s="102"/>
      <c r="U74" s="102"/>
      <c r="V74" s="102"/>
      <c r="W74" s="102"/>
      <c r="X74" s="102"/>
      <c r="Y74" s="102"/>
      <c r="Z74" s="102"/>
      <c r="AA74" s="102"/>
      <c r="AB74" s="105"/>
      <c r="AC74" s="105"/>
      <c r="AD74" s="108"/>
      <c r="AE74" s="102"/>
      <c r="AF74" s="109"/>
      <c r="AG74" s="107"/>
      <c r="AH74" s="111"/>
      <c r="AI74" s="111"/>
      <c r="AJ74" s="131" t="str">
        <f t="shared" ca="1" si="1"/>
        <v/>
      </c>
      <c r="AK74" s="102"/>
      <c r="AL74" s="102"/>
      <c r="AM74" s="105"/>
      <c r="AN74" s="105"/>
      <c r="AO74" s="105"/>
      <c r="AP74" s="109"/>
      <c r="AQ74" s="112"/>
      <c r="AR74" s="102"/>
      <c r="AS74" s="102"/>
      <c r="AT74" s="113"/>
      <c r="AU74" s="114"/>
      <c r="AV74" s="107"/>
      <c r="AW74" s="109"/>
      <c r="AX74" s="115">
        <f t="shared" si="5"/>
        <v>1900</v>
      </c>
      <c r="AY74" s="115">
        <f t="shared" si="6"/>
        <v>1900</v>
      </c>
    </row>
    <row r="75" spans="1:51" ht="22.5" customHeight="1">
      <c r="A75" s="102"/>
      <c r="B75" s="102"/>
      <c r="C75" s="102"/>
      <c r="D75" s="102"/>
      <c r="E75" s="102"/>
      <c r="F75" s="102"/>
      <c r="G75" s="102"/>
      <c r="H75" s="102"/>
      <c r="I75" s="102"/>
      <c r="J75" s="102"/>
      <c r="K75" s="104"/>
      <c r="L75" s="63" t="str">
        <f t="shared" ca="1" si="4"/>
        <v/>
      </c>
      <c r="M75" s="104"/>
      <c r="N75" s="105"/>
      <c r="O75" s="104"/>
      <c r="P75" s="102"/>
      <c r="Q75" s="102"/>
      <c r="R75" s="106"/>
      <c r="S75" s="107"/>
      <c r="T75" s="102"/>
      <c r="U75" s="102"/>
      <c r="V75" s="102"/>
      <c r="W75" s="102"/>
      <c r="X75" s="102"/>
      <c r="Y75" s="102"/>
      <c r="Z75" s="102"/>
      <c r="AA75" s="102"/>
      <c r="AB75" s="105"/>
      <c r="AC75" s="105"/>
      <c r="AD75" s="108"/>
      <c r="AE75" s="102"/>
      <c r="AF75" s="109"/>
      <c r="AG75" s="107"/>
      <c r="AH75" s="111"/>
      <c r="AI75" s="111"/>
      <c r="AJ75" s="131" t="str">
        <f t="shared" ca="1" si="1"/>
        <v/>
      </c>
      <c r="AK75" s="102"/>
      <c r="AL75" s="102"/>
      <c r="AM75" s="105"/>
      <c r="AN75" s="105"/>
      <c r="AO75" s="105"/>
      <c r="AP75" s="109"/>
      <c r="AQ75" s="112"/>
      <c r="AR75" s="102"/>
      <c r="AS75" s="102"/>
      <c r="AT75" s="113"/>
      <c r="AU75" s="114"/>
      <c r="AV75" s="107"/>
      <c r="AW75" s="109"/>
      <c r="AX75" s="115">
        <f t="shared" si="5"/>
        <v>1900</v>
      </c>
      <c r="AY75" s="115">
        <f t="shared" si="6"/>
        <v>1900</v>
      </c>
    </row>
    <row r="76" spans="1:51" ht="22.5" customHeight="1">
      <c r="A76" s="102"/>
      <c r="B76" s="102"/>
      <c r="C76" s="102"/>
      <c r="D76" s="102"/>
      <c r="E76" s="102"/>
      <c r="F76" s="102"/>
      <c r="G76" s="102"/>
      <c r="H76" s="102"/>
      <c r="I76" s="102"/>
      <c r="J76" s="102"/>
      <c r="K76" s="104"/>
      <c r="L76" s="63" t="str">
        <f t="shared" ca="1" si="4"/>
        <v/>
      </c>
      <c r="M76" s="104"/>
      <c r="N76" s="105"/>
      <c r="O76" s="104"/>
      <c r="P76" s="102"/>
      <c r="Q76" s="102"/>
      <c r="R76" s="106"/>
      <c r="S76" s="107"/>
      <c r="T76" s="102"/>
      <c r="U76" s="102"/>
      <c r="V76" s="102"/>
      <c r="W76" s="102"/>
      <c r="X76" s="102"/>
      <c r="Y76" s="102"/>
      <c r="Z76" s="102"/>
      <c r="AA76" s="102"/>
      <c r="AB76" s="105"/>
      <c r="AC76" s="109"/>
      <c r="AD76" s="107"/>
      <c r="AE76" s="102"/>
      <c r="AF76" s="109"/>
      <c r="AG76" s="107"/>
      <c r="AH76" s="111"/>
      <c r="AI76" s="111"/>
      <c r="AJ76" s="131" t="str">
        <f t="shared" ca="1" si="1"/>
        <v/>
      </c>
      <c r="AK76" s="102"/>
      <c r="AL76" s="102"/>
      <c r="AM76" s="105"/>
      <c r="AN76" s="105"/>
      <c r="AO76" s="105"/>
      <c r="AP76" s="109"/>
      <c r="AQ76" s="112"/>
      <c r="AR76" s="102"/>
      <c r="AS76" s="102"/>
      <c r="AT76" s="113"/>
      <c r="AU76" s="114"/>
      <c r="AV76" s="107"/>
      <c r="AW76" s="109"/>
      <c r="AX76" s="115">
        <f t="shared" si="5"/>
        <v>1900</v>
      </c>
      <c r="AY76" s="115">
        <f t="shared" si="6"/>
        <v>1900</v>
      </c>
    </row>
    <row r="77" spans="1:51" ht="22.5" customHeight="1">
      <c r="A77" s="102"/>
      <c r="B77" s="102"/>
      <c r="C77" s="102"/>
      <c r="D77" s="102"/>
      <c r="E77" s="102"/>
      <c r="F77" s="102"/>
      <c r="G77" s="102"/>
      <c r="H77" s="102"/>
      <c r="I77" s="102"/>
      <c r="J77" s="102"/>
      <c r="K77" s="104"/>
      <c r="L77" s="63" t="str">
        <f t="shared" ca="1" si="4"/>
        <v/>
      </c>
      <c r="M77" s="104"/>
      <c r="N77" s="105"/>
      <c r="O77" s="104"/>
      <c r="P77" s="102"/>
      <c r="Q77" s="102"/>
      <c r="R77" s="106"/>
      <c r="S77" s="107"/>
      <c r="T77" s="102"/>
      <c r="U77" s="102"/>
      <c r="V77" s="102"/>
      <c r="W77" s="102"/>
      <c r="X77" s="102"/>
      <c r="Y77" s="102"/>
      <c r="Z77" s="102"/>
      <c r="AA77" s="102"/>
      <c r="AB77" s="105"/>
      <c r="AC77" s="109"/>
      <c r="AD77" s="107"/>
      <c r="AE77" s="102"/>
      <c r="AF77" s="109"/>
      <c r="AG77" s="107"/>
      <c r="AH77" s="111"/>
      <c r="AI77" s="111"/>
      <c r="AJ77" s="131" t="str">
        <f t="shared" ca="1" si="1"/>
        <v/>
      </c>
      <c r="AK77" s="102"/>
      <c r="AL77" s="102"/>
      <c r="AM77" s="105"/>
      <c r="AN77" s="105"/>
      <c r="AO77" s="105"/>
      <c r="AP77" s="109"/>
      <c r="AQ77" s="112"/>
      <c r="AR77" s="102"/>
      <c r="AS77" s="102"/>
      <c r="AT77" s="113"/>
      <c r="AU77" s="114"/>
      <c r="AV77" s="107"/>
      <c r="AW77" s="109"/>
      <c r="AX77" s="115">
        <f t="shared" si="5"/>
        <v>1900</v>
      </c>
      <c r="AY77" s="115">
        <f t="shared" si="6"/>
        <v>1900</v>
      </c>
    </row>
    <row r="78" spans="1:51" ht="22.5" customHeight="1">
      <c r="A78" s="102"/>
      <c r="B78" s="102"/>
      <c r="C78" s="102"/>
      <c r="D78" s="102"/>
      <c r="E78" s="102"/>
      <c r="F78" s="102"/>
      <c r="G78" s="102"/>
      <c r="H78" s="102"/>
      <c r="I78" s="102"/>
      <c r="J78" s="102"/>
      <c r="K78" s="104"/>
      <c r="L78" s="63" t="str">
        <f t="shared" ca="1" si="4"/>
        <v/>
      </c>
      <c r="M78" s="104"/>
      <c r="N78" s="105"/>
      <c r="O78" s="104"/>
      <c r="P78" s="102"/>
      <c r="Q78" s="102"/>
      <c r="R78" s="106"/>
      <c r="S78" s="107"/>
      <c r="T78" s="102"/>
      <c r="U78" s="102"/>
      <c r="V78" s="102"/>
      <c r="W78" s="102"/>
      <c r="X78" s="102"/>
      <c r="Y78" s="102"/>
      <c r="Z78" s="102"/>
      <c r="AA78" s="102"/>
      <c r="AB78" s="105"/>
      <c r="AC78" s="109"/>
      <c r="AD78" s="107"/>
      <c r="AE78" s="102"/>
      <c r="AF78" s="109"/>
      <c r="AG78" s="107"/>
      <c r="AH78" s="111"/>
      <c r="AI78" s="111"/>
      <c r="AJ78" s="131" t="str">
        <f t="shared" ca="1" si="1"/>
        <v/>
      </c>
      <c r="AK78" s="102"/>
      <c r="AL78" s="102"/>
      <c r="AM78" s="105"/>
      <c r="AN78" s="105"/>
      <c r="AO78" s="105"/>
      <c r="AP78" s="109"/>
      <c r="AQ78" s="112"/>
      <c r="AR78" s="102"/>
      <c r="AS78" s="102"/>
      <c r="AT78" s="113"/>
      <c r="AU78" s="114"/>
      <c r="AV78" s="107"/>
      <c r="AW78" s="109"/>
      <c r="AX78" s="115">
        <f t="shared" si="5"/>
        <v>1900</v>
      </c>
      <c r="AY78" s="115">
        <f t="shared" si="6"/>
        <v>1900</v>
      </c>
    </row>
    <row r="79" spans="1:51" ht="22.5" customHeight="1">
      <c r="A79" s="102"/>
      <c r="B79" s="102"/>
      <c r="C79" s="102"/>
      <c r="D79" s="102"/>
      <c r="E79" s="102"/>
      <c r="F79" s="102"/>
      <c r="G79" s="102"/>
      <c r="H79" s="102"/>
      <c r="I79" s="102"/>
      <c r="J79" s="102"/>
      <c r="K79" s="104"/>
      <c r="L79" s="63" t="str">
        <f t="shared" ca="1" si="4"/>
        <v/>
      </c>
      <c r="M79" s="104"/>
      <c r="N79" s="105"/>
      <c r="O79" s="104"/>
      <c r="P79" s="102"/>
      <c r="Q79" s="102"/>
      <c r="R79" s="106"/>
      <c r="S79" s="107"/>
      <c r="T79" s="102"/>
      <c r="U79" s="102"/>
      <c r="V79" s="102"/>
      <c r="W79" s="102"/>
      <c r="X79" s="102"/>
      <c r="Y79" s="102"/>
      <c r="Z79" s="102"/>
      <c r="AA79" s="102"/>
      <c r="AB79" s="105"/>
      <c r="AC79" s="109"/>
      <c r="AD79" s="107"/>
      <c r="AE79" s="102"/>
      <c r="AF79" s="109"/>
      <c r="AG79" s="107"/>
      <c r="AH79" s="111"/>
      <c r="AI79" s="107"/>
      <c r="AJ79" s="131" t="str">
        <f t="shared" ca="1" si="1"/>
        <v/>
      </c>
      <c r="AK79" s="102"/>
      <c r="AL79" s="102"/>
      <c r="AM79" s="105"/>
      <c r="AN79" s="105"/>
      <c r="AO79" s="105"/>
      <c r="AP79" s="109"/>
      <c r="AQ79" s="112"/>
      <c r="AR79" s="102"/>
      <c r="AS79" s="102"/>
      <c r="AT79" s="113"/>
      <c r="AU79" s="114"/>
      <c r="AV79" s="107"/>
      <c r="AW79" s="109"/>
      <c r="AX79" s="115">
        <f t="shared" si="5"/>
        <v>1900</v>
      </c>
      <c r="AY79" s="115">
        <f t="shared" si="6"/>
        <v>1900</v>
      </c>
    </row>
    <row r="80" spans="1:51" ht="22.5" customHeight="1">
      <c r="A80" s="102"/>
      <c r="B80" s="102"/>
      <c r="C80" s="102"/>
      <c r="D80" s="102"/>
      <c r="E80" s="102"/>
      <c r="F80" s="102"/>
      <c r="G80" s="102"/>
      <c r="H80" s="102"/>
      <c r="I80" s="102"/>
      <c r="J80" s="102"/>
      <c r="K80" s="104"/>
      <c r="L80" s="63" t="str">
        <f t="shared" ca="1" si="4"/>
        <v/>
      </c>
      <c r="M80" s="104"/>
      <c r="N80" s="105"/>
      <c r="O80" s="104"/>
      <c r="P80" s="102"/>
      <c r="Q80" s="102"/>
      <c r="R80" s="106"/>
      <c r="S80" s="107"/>
      <c r="T80" s="102"/>
      <c r="U80" s="102"/>
      <c r="V80" s="102"/>
      <c r="W80" s="102"/>
      <c r="X80" s="102"/>
      <c r="Y80" s="102"/>
      <c r="Z80" s="102"/>
      <c r="AA80" s="102"/>
      <c r="AB80" s="105"/>
      <c r="AC80" s="105"/>
      <c r="AD80" s="108"/>
      <c r="AE80" s="102"/>
      <c r="AF80" s="109"/>
      <c r="AG80" s="107"/>
      <c r="AH80" s="111"/>
      <c r="AI80" s="111"/>
      <c r="AJ80" s="131" t="str">
        <f t="shared" ca="1" si="1"/>
        <v/>
      </c>
      <c r="AK80" s="102"/>
      <c r="AL80" s="102"/>
      <c r="AM80" s="105"/>
      <c r="AN80" s="105"/>
      <c r="AO80" s="105"/>
      <c r="AP80" s="109"/>
      <c r="AQ80" s="112"/>
      <c r="AR80" s="102"/>
      <c r="AS80" s="102"/>
      <c r="AT80" s="113"/>
      <c r="AU80" s="114"/>
      <c r="AV80" s="107"/>
      <c r="AW80" s="109"/>
      <c r="AX80" s="115">
        <f t="shared" si="5"/>
        <v>1900</v>
      </c>
      <c r="AY80" s="115">
        <f t="shared" si="6"/>
        <v>1900</v>
      </c>
    </row>
    <row r="81" spans="1:51" ht="22.5" customHeight="1">
      <c r="A81" s="102"/>
      <c r="B81" s="102"/>
      <c r="C81" s="102"/>
      <c r="D81" s="102"/>
      <c r="E81" s="102"/>
      <c r="F81" s="102"/>
      <c r="G81" s="102"/>
      <c r="H81" s="102"/>
      <c r="I81" s="102"/>
      <c r="J81" s="102"/>
      <c r="K81" s="104"/>
      <c r="L81" s="63" t="str">
        <f t="shared" ca="1" si="4"/>
        <v/>
      </c>
      <c r="M81" s="104"/>
      <c r="N81" s="105"/>
      <c r="O81" s="104"/>
      <c r="P81" s="102"/>
      <c r="Q81" s="102"/>
      <c r="R81" s="106"/>
      <c r="S81" s="107"/>
      <c r="T81" s="102"/>
      <c r="U81" s="102"/>
      <c r="V81" s="102"/>
      <c r="W81" s="102"/>
      <c r="X81" s="102"/>
      <c r="Y81" s="102"/>
      <c r="Z81" s="102"/>
      <c r="AA81" s="102"/>
      <c r="AB81" s="105"/>
      <c r="AC81" s="105"/>
      <c r="AD81" s="108"/>
      <c r="AE81" s="102"/>
      <c r="AF81" s="109"/>
      <c r="AG81" s="107"/>
      <c r="AH81" s="111"/>
      <c r="AI81" s="111"/>
      <c r="AJ81" s="131" t="str">
        <f t="shared" ca="1" si="1"/>
        <v/>
      </c>
      <c r="AK81" s="102"/>
      <c r="AL81" s="102"/>
      <c r="AM81" s="105"/>
      <c r="AN81" s="105"/>
      <c r="AO81" s="105"/>
      <c r="AP81" s="109"/>
      <c r="AQ81" s="112"/>
      <c r="AR81" s="102"/>
      <c r="AS81" s="102"/>
      <c r="AT81" s="113"/>
      <c r="AU81" s="114"/>
      <c r="AV81" s="107"/>
      <c r="AW81" s="109"/>
      <c r="AX81" s="115">
        <f t="shared" si="5"/>
        <v>1900</v>
      </c>
      <c r="AY81" s="115">
        <f t="shared" si="6"/>
        <v>1900</v>
      </c>
    </row>
    <row r="82" spans="1:51" ht="22.5" customHeight="1">
      <c r="A82" s="102"/>
      <c r="B82" s="102"/>
      <c r="C82" s="102"/>
      <c r="D82" s="102"/>
      <c r="E82" s="102"/>
      <c r="F82" s="102"/>
      <c r="G82" s="102"/>
      <c r="H82" s="102"/>
      <c r="I82" s="102"/>
      <c r="J82" s="102"/>
      <c r="K82" s="104"/>
      <c r="L82" s="63" t="str">
        <f t="shared" ca="1" si="4"/>
        <v/>
      </c>
      <c r="M82" s="104"/>
      <c r="N82" s="105"/>
      <c r="O82" s="104"/>
      <c r="P82" s="102"/>
      <c r="Q82" s="102"/>
      <c r="R82" s="106"/>
      <c r="S82" s="107"/>
      <c r="T82" s="102"/>
      <c r="U82" s="102"/>
      <c r="V82" s="102"/>
      <c r="W82" s="102"/>
      <c r="X82" s="102"/>
      <c r="Y82" s="102"/>
      <c r="Z82" s="102"/>
      <c r="AA82" s="102"/>
      <c r="AB82" s="105"/>
      <c r="AC82" s="105"/>
      <c r="AD82" s="108"/>
      <c r="AE82" s="102"/>
      <c r="AF82" s="109"/>
      <c r="AG82" s="107"/>
      <c r="AH82" s="111"/>
      <c r="AI82" s="111"/>
      <c r="AJ82" s="131" t="str">
        <f t="shared" ca="1" si="1"/>
        <v/>
      </c>
      <c r="AK82" s="102"/>
      <c r="AL82" s="102"/>
      <c r="AM82" s="105"/>
      <c r="AN82" s="105"/>
      <c r="AO82" s="105"/>
      <c r="AP82" s="109"/>
      <c r="AQ82" s="112"/>
      <c r="AR82" s="102"/>
      <c r="AS82" s="102"/>
      <c r="AT82" s="113"/>
      <c r="AU82" s="114"/>
      <c r="AV82" s="107"/>
      <c r="AW82" s="109"/>
      <c r="AX82" s="115">
        <f t="shared" si="5"/>
        <v>1900</v>
      </c>
      <c r="AY82" s="115">
        <f t="shared" si="6"/>
        <v>1900</v>
      </c>
    </row>
    <row r="83" spans="1:51" ht="22.5" customHeight="1">
      <c r="A83" s="102"/>
      <c r="B83" s="102"/>
      <c r="C83" s="102"/>
      <c r="D83" s="102"/>
      <c r="E83" s="102"/>
      <c r="F83" s="102"/>
      <c r="G83" s="102"/>
      <c r="H83" s="102"/>
      <c r="I83" s="102"/>
      <c r="J83" s="102"/>
      <c r="K83" s="104"/>
      <c r="L83" s="63" t="str">
        <f t="shared" ca="1" si="4"/>
        <v/>
      </c>
      <c r="M83" s="104"/>
      <c r="N83" s="105"/>
      <c r="O83" s="104"/>
      <c r="P83" s="102"/>
      <c r="Q83" s="102"/>
      <c r="R83" s="106"/>
      <c r="S83" s="107"/>
      <c r="T83" s="102"/>
      <c r="U83" s="102"/>
      <c r="V83" s="102"/>
      <c r="W83" s="102"/>
      <c r="X83" s="102"/>
      <c r="Y83" s="102"/>
      <c r="Z83" s="102"/>
      <c r="AA83" s="102"/>
      <c r="AB83" s="105"/>
      <c r="AC83" s="105"/>
      <c r="AD83" s="108"/>
      <c r="AE83" s="102"/>
      <c r="AF83" s="109"/>
      <c r="AG83" s="107"/>
      <c r="AH83" s="111"/>
      <c r="AI83" s="111"/>
      <c r="AJ83" s="131" t="str">
        <f t="shared" ca="1" si="1"/>
        <v/>
      </c>
      <c r="AK83" s="102"/>
      <c r="AL83" s="102"/>
      <c r="AM83" s="105"/>
      <c r="AN83" s="105"/>
      <c r="AO83" s="105"/>
      <c r="AP83" s="109"/>
      <c r="AQ83" s="112"/>
      <c r="AR83" s="102"/>
      <c r="AS83" s="102"/>
      <c r="AT83" s="113"/>
      <c r="AU83" s="114"/>
      <c r="AV83" s="107"/>
      <c r="AW83" s="109"/>
      <c r="AX83" s="115">
        <f t="shared" si="5"/>
        <v>1900</v>
      </c>
      <c r="AY83" s="115">
        <f t="shared" si="6"/>
        <v>1900</v>
      </c>
    </row>
    <row r="84" spans="1:51" ht="22.5" customHeight="1">
      <c r="A84" s="102"/>
      <c r="B84" s="102"/>
      <c r="C84" s="102"/>
      <c r="D84" s="102"/>
      <c r="E84" s="102"/>
      <c r="F84" s="102"/>
      <c r="G84" s="102"/>
      <c r="H84" s="102"/>
      <c r="I84" s="102"/>
      <c r="J84" s="102"/>
      <c r="K84" s="104"/>
      <c r="L84" s="63" t="str">
        <f t="shared" ca="1" si="4"/>
        <v/>
      </c>
      <c r="M84" s="104"/>
      <c r="N84" s="105"/>
      <c r="O84" s="104"/>
      <c r="P84" s="102"/>
      <c r="Q84" s="102"/>
      <c r="R84" s="106"/>
      <c r="S84" s="107"/>
      <c r="T84" s="102"/>
      <c r="U84" s="102"/>
      <c r="V84" s="102"/>
      <c r="W84" s="102"/>
      <c r="X84" s="102"/>
      <c r="Y84" s="102"/>
      <c r="Z84" s="102"/>
      <c r="AA84" s="102"/>
      <c r="AB84" s="105"/>
      <c r="AC84" s="105"/>
      <c r="AD84" s="108"/>
      <c r="AE84" s="102"/>
      <c r="AF84" s="109"/>
      <c r="AG84" s="107"/>
      <c r="AH84" s="111"/>
      <c r="AI84" s="111"/>
      <c r="AJ84" s="131" t="str">
        <f t="shared" ca="1" si="1"/>
        <v/>
      </c>
      <c r="AK84" s="102"/>
      <c r="AL84" s="102"/>
      <c r="AM84" s="105"/>
      <c r="AN84" s="105"/>
      <c r="AO84" s="105"/>
      <c r="AP84" s="109"/>
      <c r="AQ84" s="112"/>
      <c r="AR84" s="102"/>
      <c r="AS84" s="102"/>
      <c r="AT84" s="113"/>
      <c r="AU84" s="114"/>
      <c r="AV84" s="107"/>
      <c r="AW84" s="109"/>
      <c r="AX84" s="115">
        <f t="shared" si="5"/>
        <v>1900</v>
      </c>
      <c r="AY84" s="115">
        <f t="shared" si="6"/>
        <v>1900</v>
      </c>
    </row>
    <row r="85" spans="1:51" ht="22.5" customHeight="1">
      <c r="A85" s="102"/>
      <c r="B85" s="102"/>
      <c r="C85" s="102"/>
      <c r="D85" s="102"/>
      <c r="E85" s="102"/>
      <c r="F85" s="102"/>
      <c r="G85" s="102"/>
      <c r="H85" s="102"/>
      <c r="I85" s="102"/>
      <c r="J85" s="102"/>
      <c r="K85" s="104"/>
      <c r="L85" s="63" t="str">
        <f t="shared" ca="1" si="4"/>
        <v/>
      </c>
      <c r="M85" s="104"/>
      <c r="N85" s="105"/>
      <c r="O85" s="104"/>
      <c r="P85" s="102"/>
      <c r="Q85" s="102"/>
      <c r="R85" s="106"/>
      <c r="S85" s="107"/>
      <c r="T85" s="102"/>
      <c r="U85" s="102"/>
      <c r="V85" s="102"/>
      <c r="W85" s="102"/>
      <c r="X85" s="102"/>
      <c r="Y85" s="102"/>
      <c r="Z85" s="102"/>
      <c r="AA85" s="102"/>
      <c r="AB85" s="105"/>
      <c r="AC85" s="105"/>
      <c r="AD85" s="108"/>
      <c r="AE85" s="102"/>
      <c r="AF85" s="109"/>
      <c r="AG85" s="107"/>
      <c r="AH85" s="111"/>
      <c r="AI85" s="111"/>
      <c r="AJ85" s="131" t="str">
        <f t="shared" ca="1" si="1"/>
        <v/>
      </c>
      <c r="AK85" s="102"/>
      <c r="AL85" s="102"/>
      <c r="AM85" s="105"/>
      <c r="AN85" s="105"/>
      <c r="AO85" s="105"/>
      <c r="AP85" s="109"/>
      <c r="AQ85" s="112"/>
      <c r="AR85" s="102"/>
      <c r="AS85" s="102"/>
      <c r="AT85" s="113"/>
      <c r="AU85" s="114"/>
      <c r="AV85" s="107"/>
      <c r="AW85" s="109"/>
      <c r="AX85" s="115">
        <f t="shared" si="5"/>
        <v>1900</v>
      </c>
      <c r="AY85" s="115">
        <f t="shared" si="6"/>
        <v>1900</v>
      </c>
    </row>
    <row r="86" spans="1:51" ht="22.5" customHeight="1">
      <c r="A86" s="102"/>
      <c r="B86" s="102"/>
      <c r="C86" s="102"/>
      <c r="D86" s="102"/>
      <c r="E86" s="102"/>
      <c r="F86" s="102"/>
      <c r="G86" s="102"/>
      <c r="H86" s="102"/>
      <c r="I86" s="102"/>
      <c r="J86" s="102"/>
      <c r="K86" s="104"/>
      <c r="L86" s="63" t="str">
        <f t="shared" ca="1" si="4"/>
        <v/>
      </c>
      <c r="M86" s="104"/>
      <c r="N86" s="105"/>
      <c r="O86" s="104"/>
      <c r="P86" s="102"/>
      <c r="Q86" s="102"/>
      <c r="R86" s="106"/>
      <c r="S86" s="107"/>
      <c r="T86" s="102"/>
      <c r="U86" s="102"/>
      <c r="V86" s="102"/>
      <c r="W86" s="102"/>
      <c r="X86" s="102"/>
      <c r="Y86" s="102"/>
      <c r="Z86" s="102"/>
      <c r="AA86" s="102"/>
      <c r="AB86" s="105"/>
      <c r="AC86" s="105"/>
      <c r="AD86" s="108"/>
      <c r="AE86" s="102"/>
      <c r="AF86" s="109"/>
      <c r="AG86" s="107"/>
      <c r="AH86" s="111"/>
      <c r="AI86" s="111"/>
      <c r="AJ86" s="131" t="str">
        <f t="shared" ca="1" si="1"/>
        <v/>
      </c>
      <c r="AK86" s="102"/>
      <c r="AL86" s="102"/>
      <c r="AM86" s="105"/>
      <c r="AN86" s="105"/>
      <c r="AO86" s="105"/>
      <c r="AP86" s="109"/>
      <c r="AQ86" s="112"/>
      <c r="AR86" s="102"/>
      <c r="AS86" s="102"/>
      <c r="AT86" s="113"/>
      <c r="AU86" s="114"/>
      <c r="AV86" s="107"/>
      <c r="AW86" s="109"/>
      <c r="AX86" s="115">
        <f t="shared" si="5"/>
        <v>1900</v>
      </c>
      <c r="AY86" s="115">
        <f t="shared" si="6"/>
        <v>1900</v>
      </c>
    </row>
    <row r="87" spans="1:51" ht="22.5" customHeight="1">
      <c r="A87" s="102"/>
      <c r="B87" s="102"/>
      <c r="C87" s="102"/>
      <c r="D87" s="102"/>
      <c r="E87" s="102"/>
      <c r="F87" s="102"/>
      <c r="G87" s="102"/>
      <c r="H87" s="102"/>
      <c r="I87" s="102"/>
      <c r="J87" s="102"/>
      <c r="K87" s="104"/>
      <c r="L87" s="63" t="str">
        <f t="shared" ca="1" si="4"/>
        <v/>
      </c>
      <c r="M87" s="104"/>
      <c r="N87" s="105"/>
      <c r="O87" s="104"/>
      <c r="P87" s="102"/>
      <c r="Q87" s="102"/>
      <c r="R87" s="106"/>
      <c r="S87" s="107"/>
      <c r="T87" s="102"/>
      <c r="U87" s="102"/>
      <c r="V87" s="102"/>
      <c r="W87" s="102"/>
      <c r="X87" s="102"/>
      <c r="Y87" s="102"/>
      <c r="Z87" s="102"/>
      <c r="AA87" s="102"/>
      <c r="AB87" s="105"/>
      <c r="AC87" s="105"/>
      <c r="AD87" s="108"/>
      <c r="AE87" s="102"/>
      <c r="AF87" s="109"/>
      <c r="AG87" s="107"/>
      <c r="AH87" s="111"/>
      <c r="AI87" s="111"/>
      <c r="AJ87" s="131" t="str">
        <f t="shared" ca="1" si="1"/>
        <v/>
      </c>
      <c r="AK87" s="102"/>
      <c r="AL87" s="102"/>
      <c r="AM87" s="105"/>
      <c r="AN87" s="105"/>
      <c r="AO87" s="105"/>
      <c r="AP87" s="109"/>
      <c r="AQ87" s="112"/>
      <c r="AR87" s="102"/>
      <c r="AS87" s="102"/>
      <c r="AT87" s="113"/>
      <c r="AU87" s="114"/>
      <c r="AV87" s="107"/>
      <c r="AW87" s="109"/>
      <c r="AX87" s="115">
        <f t="shared" si="5"/>
        <v>1900</v>
      </c>
      <c r="AY87" s="115">
        <f t="shared" si="6"/>
        <v>1900</v>
      </c>
    </row>
    <row r="88" spans="1:51" ht="22.5" customHeight="1">
      <c r="A88" s="102"/>
      <c r="B88" s="102"/>
      <c r="C88" s="102"/>
      <c r="D88" s="102"/>
      <c r="E88" s="102"/>
      <c r="F88" s="102"/>
      <c r="G88" s="102"/>
      <c r="H88" s="102"/>
      <c r="I88" s="102"/>
      <c r="J88" s="102"/>
      <c r="K88" s="104"/>
      <c r="L88" s="63" t="str">
        <f t="shared" ca="1" si="4"/>
        <v/>
      </c>
      <c r="M88" s="104"/>
      <c r="N88" s="105"/>
      <c r="O88" s="104"/>
      <c r="P88" s="102"/>
      <c r="Q88" s="102"/>
      <c r="R88" s="106"/>
      <c r="S88" s="107"/>
      <c r="T88" s="102"/>
      <c r="U88" s="102"/>
      <c r="V88" s="102"/>
      <c r="W88" s="102"/>
      <c r="X88" s="102"/>
      <c r="Y88" s="102"/>
      <c r="Z88" s="102"/>
      <c r="AA88" s="102"/>
      <c r="AB88" s="105"/>
      <c r="AC88" s="105"/>
      <c r="AD88" s="108"/>
      <c r="AE88" s="102"/>
      <c r="AF88" s="109"/>
      <c r="AG88" s="107"/>
      <c r="AH88" s="111"/>
      <c r="AI88" s="111"/>
      <c r="AJ88" s="131" t="str">
        <f t="shared" ca="1" si="1"/>
        <v/>
      </c>
      <c r="AK88" s="102"/>
      <c r="AL88" s="102"/>
      <c r="AM88" s="105"/>
      <c r="AN88" s="105"/>
      <c r="AO88" s="105"/>
      <c r="AP88" s="109"/>
      <c r="AQ88" s="112"/>
      <c r="AR88" s="102"/>
      <c r="AS88" s="102"/>
      <c r="AT88" s="113"/>
      <c r="AU88" s="114"/>
      <c r="AV88" s="111"/>
      <c r="AW88" s="109"/>
      <c r="AX88" s="115">
        <f t="shared" si="5"/>
        <v>1900</v>
      </c>
      <c r="AY88" s="115">
        <f t="shared" si="6"/>
        <v>1900</v>
      </c>
    </row>
    <row r="89" spans="1:51" ht="22.5" customHeight="1">
      <c r="A89" s="102"/>
      <c r="B89" s="102"/>
      <c r="C89" s="102"/>
      <c r="D89" s="102"/>
      <c r="E89" s="102"/>
      <c r="F89" s="102"/>
      <c r="G89" s="102"/>
      <c r="H89" s="102"/>
      <c r="I89" s="102"/>
      <c r="J89" s="102"/>
      <c r="K89" s="104"/>
      <c r="L89" s="63" t="str">
        <f t="shared" ca="1" si="4"/>
        <v/>
      </c>
      <c r="M89" s="104"/>
      <c r="N89" s="105"/>
      <c r="O89" s="104"/>
      <c r="P89" s="102"/>
      <c r="Q89" s="102"/>
      <c r="R89" s="106"/>
      <c r="S89" s="107"/>
      <c r="T89" s="102"/>
      <c r="U89" s="102"/>
      <c r="V89" s="102"/>
      <c r="W89" s="102"/>
      <c r="X89" s="102"/>
      <c r="Y89" s="102"/>
      <c r="Z89" s="102"/>
      <c r="AA89" s="102"/>
      <c r="AB89" s="105"/>
      <c r="AC89" s="105"/>
      <c r="AD89" s="108"/>
      <c r="AE89" s="102"/>
      <c r="AF89" s="109"/>
      <c r="AG89" s="107"/>
      <c r="AH89" s="111"/>
      <c r="AI89" s="111"/>
      <c r="AJ89" s="131" t="str">
        <f t="shared" ca="1" si="1"/>
        <v/>
      </c>
      <c r="AK89" s="102"/>
      <c r="AL89" s="102"/>
      <c r="AM89" s="105"/>
      <c r="AN89" s="105"/>
      <c r="AO89" s="105"/>
      <c r="AP89" s="109"/>
      <c r="AQ89" s="112"/>
      <c r="AR89" s="102"/>
      <c r="AS89" s="102"/>
      <c r="AT89" s="113"/>
      <c r="AU89" s="114"/>
      <c r="AV89" s="111"/>
      <c r="AW89" s="109"/>
      <c r="AX89" s="115">
        <f t="shared" si="5"/>
        <v>1900</v>
      </c>
      <c r="AY89" s="115">
        <f t="shared" si="6"/>
        <v>1900</v>
      </c>
    </row>
    <row r="90" spans="1:51" ht="22.5" customHeight="1">
      <c r="A90" s="102"/>
      <c r="B90" s="102"/>
      <c r="C90" s="102"/>
      <c r="D90" s="102"/>
      <c r="E90" s="102"/>
      <c r="F90" s="102"/>
      <c r="G90" s="102"/>
      <c r="H90" s="102"/>
      <c r="I90" s="102"/>
      <c r="J90" s="102"/>
      <c r="K90" s="104"/>
      <c r="L90" s="63" t="str">
        <f t="shared" ca="1" si="4"/>
        <v/>
      </c>
      <c r="M90" s="104"/>
      <c r="N90" s="105"/>
      <c r="O90" s="104"/>
      <c r="P90" s="102"/>
      <c r="Q90" s="102"/>
      <c r="R90" s="106"/>
      <c r="S90" s="107"/>
      <c r="T90" s="102"/>
      <c r="U90" s="102"/>
      <c r="V90" s="102"/>
      <c r="W90" s="102"/>
      <c r="X90" s="102"/>
      <c r="Y90" s="102"/>
      <c r="Z90" s="102"/>
      <c r="AA90" s="102"/>
      <c r="AB90" s="105"/>
      <c r="AC90" s="105"/>
      <c r="AD90" s="108"/>
      <c r="AE90" s="102"/>
      <c r="AF90" s="109"/>
      <c r="AG90" s="107"/>
      <c r="AH90" s="111"/>
      <c r="AI90" s="111"/>
      <c r="AJ90" s="131" t="str">
        <f t="shared" ca="1" si="1"/>
        <v/>
      </c>
      <c r="AK90" s="102"/>
      <c r="AL90" s="102"/>
      <c r="AM90" s="105"/>
      <c r="AN90" s="105"/>
      <c r="AO90" s="105"/>
      <c r="AP90" s="109"/>
      <c r="AQ90" s="112"/>
      <c r="AR90" s="102"/>
      <c r="AS90" s="102"/>
      <c r="AT90" s="113"/>
      <c r="AU90" s="114"/>
      <c r="AV90" s="111"/>
      <c r="AW90" s="109"/>
      <c r="AX90" s="115">
        <f t="shared" si="5"/>
        <v>1900</v>
      </c>
      <c r="AY90" s="115">
        <f t="shared" si="6"/>
        <v>1900</v>
      </c>
    </row>
    <row r="91" spans="1:51" ht="22.5" customHeight="1">
      <c r="A91" s="102"/>
      <c r="B91" s="102"/>
      <c r="C91" s="102"/>
      <c r="D91" s="102"/>
      <c r="E91" s="102"/>
      <c r="F91" s="102"/>
      <c r="G91" s="102"/>
      <c r="H91" s="102"/>
      <c r="I91" s="102"/>
      <c r="J91" s="102"/>
      <c r="K91" s="104"/>
      <c r="L91" s="63" t="str">
        <f t="shared" ca="1" si="4"/>
        <v/>
      </c>
      <c r="M91" s="104"/>
      <c r="N91" s="105"/>
      <c r="O91" s="104"/>
      <c r="P91" s="102"/>
      <c r="Q91" s="102"/>
      <c r="R91" s="106"/>
      <c r="S91" s="107"/>
      <c r="T91" s="102"/>
      <c r="U91" s="102"/>
      <c r="V91" s="102"/>
      <c r="W91" s="102"/>
      <c r="X91" s="102"/>
      <c r="Y91" s="102"/>
      <c r="Z91" s="102"/>
      <c r="AA91" s="102"/>
      <c r="AB91" s="105"/>
      <c r="AC91" s="105"/>
      <c r="AD91" s="108"/>
      <c r="AE91" s="102"/>
      <c r="AF91" s="109"/>
      <c r="AG91" s="107"/>
      <c r="AH91" s="111"/>
      <c r="AI91" s="111"/>
      <c r="AJ91" s="131" t="str">
        <f t="shared" ca="1" si="1"/>
        <v/>
      </c>
      <c r="AK91" s="102"/>
      <c r="AL91" s="102"/>
      <c r="AM91" s="105"/>
      <c r="AN91" s="105"/>
      <c r="AO91" s="105"/>
      <c r="AP91" s="109"/>
      <c r="AQ91" s="112"/>
      <c r="AR91" s="102"/>
      <c r="AS91" s="102"/>
      <c r="AT91" s="113"/>
      <c r="AU91" s="114"/>
      <c r="AV91" s="111"/>
      <c r="AW91" s="109"/>
      <c r="AX91" s="115">
        <f t="shared" si="5"/>
        <v>1900</v>
      </c>
      <c r="AY91" s="115">
        <f t="shared" si="6"/>
        <v>1900</v>
      </c>
    </row>
    <row r="92" spans="1:51" ht="22.5" customHeight="1">
      <c r="A92" s="102"/>
      <c r="B92" s="102"/>
      <c r="C92" s="102"/>
      <c r="D92" s="102"/>
      <c r="E92" s="102"/>
      <c r="F92" s="102"/>
      <c r="G92" s="102"/>
      <c r="H92" s="102"/>
      <c r="I92" s="102"/>
      <c r="J92" s="102"/>
      <c r="K92" s="104"/>
      <c r="L92" s="63" t="str">
        <f t="shared" ca="1" si="4"/>
        <v/>
      </c>
      <c r="M92" s="104"/>
      <c r="N92" s="105"/>
      <c r="O92" s="104"/>
      <c r="P92" s="102"/>
      <c r="Q92" s="102"/>
      <c r="R92" s="106"/>
      <c r="S92" s="107"/>
      <c r="T92" s="102"/>
      <c r="U92" s="102"/>
      <c r="V92" s="102"/>
      <c r="W92" s="102"/>
      <c r="X92" s="102"/>
      <c r="Y92" s="102"/>
      <c r="Z92" s="102"/>
      <c r="AA92" s="102"/>
      <c r="AB92" s="105"/>
      <c r="AC92" s="105"/>
      <c r="AD92" s="108"/>
      <c r="AE92" s="102"/>
      <c r="AF92" s="109"/>
      <c r="AG92" s="107"/>
      <c r="AH92" s="111"/>
      <c r="AI92" s="111"/>
      <c r="AJ92" s="131" t="str">
        <f t="shared" ca="1" si="1"/>
        <v/>
      </c>
      <c r="AK92" s="102"/>
      <c r="AL92" s="102"/>
      <c r="AM92" s="105"/>
      <c r="AN92" s="105"/>
      <c r="AO92" s="105"/>
      <c r="AP92" s="109"/>
      <c r="AQ92" s="112"/>
      <c r="AR92" s="102"/>
      <c r="AS92" s="102"/>
      <c r="AT92" s="113"/>
      <c r="AU92" s="114"/>
      <c r="AV92" s="111"/>
      <c r="AW92" s="109"/>
      <c r="AX92" s="115">
        <f t="shared" si="5"/>
        <v>1900</v>
      </c>
      <c r="AY92" s="115">
        <f t="shared" si="6"/>
        <v>1900</v>
      </c>
    </row>
    <row r="93" spans="1:51" ht="22.5" customHeight="1">
      <c r="A93" s="102"/>
      <c r="B93" s="102"/>
      <c r="C93" s="102"/>
      <c r="D93" s="102"/>
      <c r="E93" s="102"/>
      <c r="F93" s="102"/>
      <c r="G93" s="102"/>
      <c r="H93" s="102"/>
      <c r="I93" s="102"/>
      <c r="J93" s="102"/>
      <c r="K93" s="104"/>
      <c r="L93" s="63" t="str">
        <f t="shared" ca="1" si="4"/>
        <v/>
      </c>
      <c r="M93" s="104"/>
      <c r="N93" s="105"/>
      <c r="O93" s="104"/>
      <c r="P93" s="102"/>
      <c r="Q93" s="102"/>
      <c r="R93" s="106"/>
      <c r="S93" s="107"/>
      <c r="T93" s="102"/>
      <c r="U93" s="102"/>
      <c r="V93" s="102"/>
      <c r="W93" s="102"/>
      <c r="X93" s="102"/>
      <c r="Y93" s="102"/>
      <c r="Z93" s="102"/>
      <c r="AA93" s="102"/>
      <c r="AB93" s="105"/>
      <c r="AC93" s="105"/>
      <c r="AD93" s="108"/>
      <c r="AE93" s="102"/>
      <c r="AF93" s="109"/>
      <c r="AG93" s="107"/>
      <c r="AH93" s="111"/>
      <c r="AI93" s="111"/>
      <c r="AJ93" s="131" t="str">
        <f t="shared" ca="1" si="1"/>
        <v/>
      </c>
      <c r="AK93" s="102"/>
      <c r="AL93" s="102"/>
      <c r="AM93" s="105"/>
      <c r="AN93" s="105"/>
      <c r="AO93" s="105"/>
      <c r="AP93" s="109"/>
      <c r="AQ93" s="112"/>
      <c r="AR93" s="102"/>
      <c r="AS93" s="102"/>
      <c r="AT93" s="113"/>
      <c r="AU93" s="114"/>
      <c r="AV93" s="111"/>
      <c r="AW93" s="109"/>
      <c r="AX93" s="115">
        <f t="shared" si="5"/>
        <v>1900</v>
      </c>
      <c r="AY93" s="115">
        <f t="shared" si="6"/>
        <v>1900</v>
      </c>
    </row>
    <row r="94" spans="1:51" ht="22.5" customHeight="1">
      <c r="A94" s="102"/>
      <c r="B94" s="102"/>
      <c r="C94" s="102"/>
      <c r="D94" s="102"/>
      <c r="E94" s="102"/>
      <c r="F94" s="102"/>
      <c r="G94" s="102"/>
      <c r="H94" s="102"/>
      <c r="I94" s="102"/>
      <c r="J94" s="102"/>
      <c r="K94" s="104"/>
      <c r="L94" s="63" t="str">
        <f t="shared" ca="1" si="4"/>
        <v/>
      </c>
      <c r="M94" s="104"/>
      <c r="N94" s="105"/>
      <c r="O94" s="104"/>
      <c r="P94" s="102"/>
      <c r="Q94" s="102"/>
      <c r="R94" s="106"/>
      <c r="S94" s="107"/>
      <c r="T94" s="102"/>
      <c r="U94" s="102"/>
      <c r="V94" s="102"/>
      <c r="W94" s="102"/>
      <c r="X94" s="102"/>
      <c r="Y94" s="102"/>
      <c r="Z94" s="102"/>
      <c r="AA94" s="102"/>
      <c r="AB94" s="105"/>
      <c r="AC94" s="105"/>
      <c r="AD94" s="108"/>
      <c r="AE94" s="102"/>
      <c r="AF94" s="109"/>
      <c r="AG94" s="107"/>
      <c r="AH94" s="111"/>
      <c r="AI94" s="111"/>
      <c r="AJ94" s="131" t="str">
        <f t="shared" ca="1" si="1"/>
        <v/>
      </c>
      <c r="AK94" s="102"/>
      <c r="AL94" s="102"/>
      <c r="AM94" s="105"/>
      <c r="AN94" s="105"/>
      <c r="AO94" s="105"/>
      <c r="AP94" s="109"/>
      <c r="AQ94" s="112"/>
      <c r="AR94" s="102"/>
      <c r="AS94" s="102"/>
      <c r="AT94" s="113"/>
      <c r="AU94" s="114"/>
      <c r="AV94" s="111"/>
      <c r="AW94" s="109"/>
      <c r="AX94" s="115">
        <f t="shared" si="5"/>
        <v>1900</v>
      </c>
      <c r="AY94" s="115">
        <f t="shared" si="6"/>
        <v>1900</v>
      </c>
    </row>
    <row r="95" spans="1:51" ht="22.5" customHeight="1">
      <c r="A95" s="102"/>
      <c r="B95" s="102"/>
      <c r="C95" s="102"/>
      <c r="D95" s="102"/>
      <c r="E95" s="102"/>
      <c r="F95" s="102"/>
      <c r="G95" s="102"/>
      <c r="H95" s="102"/>
      <c r="I95" s="102"/>
      <c r="J95" s="102"/>
      <c r="K95" s="104"/>
      <c r="L95" s="63" t="str">
        <f t="shared" ca="1" si="4"/>
        <v/>
      </c>
      <c r="M95" s="104"/>
      <c r="N95" s="105"/>
      <c r="O95" s="104"/>
      <c r="P95" s="102"/>
      <c r="Q95" s="102"/>
      <c r="R95" s="106"/>
      <c r="S95" s="107"/>
      <c r="T95" s="102"/>
      <c r="U95" s="102"/>
      <c r="V95" s="102"/>
      <c r="W95" s="102"/>
      <c r="X95" s="102"/>
      <c r="Y95" s="102"/>
      <c r="Z95" s="102"/>
      <c r="AA95" s="102"/>
      <c r="AB95" s="105"/>
      <c r="AC95" s="105"/>
      <c r="AD95" s="108"/>
      <c r="AE95" s="102"/>
      <c r="AF95" s="109"/>
      <c r="AG95" s="107"/>
      <c r="AH95" s="111"/>
      <c r="AI95" s="111"/>
      <c r="AJ95" s="131" t="str">
        <f t="shared" ca="1" si="1"/>
        <v/>
      </c>
      <c r="AK95" s="102"/>
      <c r="AL95" s="102"/>
      <c r="AM95" s="105"/>
      <c r="AN95" s="105"/>
      <c r="AO95" s="105"/>
      <c r="AP95" s="109"/>
      <c r="AQ95" s="112"/>
      <c r="AR95" s="102"/>
      <c r="AS95" s="102"/>
      <c r="AT95" s="113"/>
      <c r="AU95" s="114"/>
      <c r="AV95" s="107"/>
      <c r="AW95" s="109"/>
      <c r="AX95" s="115">
        <f t="shared" si="5"/>
        <v>1900</v>
      </c>
      <c r="AY95" s="115">
        <f t="shared" si="6"/>
        <v>1900</v>
      </c>
    </row>
    <row r="96" spans="1:51" ht="22.5" customHeight="1">
      <c r="A96" s="102"/>
      <c r="B96" s="102"/>
      <c r="C96" s="102"/>
      <c r="D96" s="102"/>
      <c r="E96" s="102"/>
      <c r="F96" s="102"/>
      <c r="G96" s="102"/>
      <c r="H96" s="102"/>
      <c r="I96" s="102"/>
      <c r="J96" s="102"/>
      <c r="K96" s="104"/>
      <c r="L96" s="63" t="str">
        <f t="shared" ca="1" si="4"/>
        <v/>
      </c>
      <c r="M96" s="104"/>
      <c r="N96" s="105"/>
      <c r="O96" s="104"/>
      <c r="P96" s="102"/>
      <c r="Q96" s="102"/>
      <c r="R96" s="106"/>
      <c r="S96" s="107"/>
      <c r="T96" s="102"/>
      <c r="U96" s="102"/>
      <c r="V96" s="102"/>
      <c r="W96" s="102"/>
      <c r="X96" s="102"/>
      <c r="Y96" s="102"/>
      <c r="Z96" s="102"/>
      <c r="AA96" s="102"/>
      <c r="AB96" s="105"/>
      <c r="AC96" s="109"/>
      <c r="AD96" s="107"/>
      <c r="AE96" s="102"/>
      <c r="AF96" s="109"/>
      <c r="AG96" s="107"/>
      <c r="AH96" s="111"/>
      <c r="AI96" s="111"/>
      <c r="AJ96" s="131" t="str">
        <f t="shared" ca="1" si="1"/>
        <v/>
      </c>
      <c r="AK96" s="102"/>
      <c r="AL96" s="102"/>
      <c r="AM96" s="105"/>
      <c r="AN96" s="105"/>
      <c r="AO96" s="105"/>
      <c r="AP96" s="109"/>
      <c r="AQ96" s="112"/>
      <c r="AR96" s="102"/>
      <c r="AS96" s="102"/>
      <c r="AT96" s="113"/>
      <c r="AU96" s="114"/>
      <c r="AV96" s="107"/>
      <c r="AW96" s="109"/>
      <c r="AX96" s="115">
        <f t="shared" si="5"/>
        <v>1900</v>
      </c>
      <c r="AY96" s="115">
        <f t="shared" si="6"/>
        <v>1900</v>
      </c>
    </row>
    <row r="97" spans="1:51" ht="22.5" customHeight="1">
      <c r="A97" s="102"/>
      <c r="B97" s="102"/>
      <c r="C97" s="102"/>
      <c r="D97" s="102"/>
      <c r="E97" s="102"/>
      <c r="F97" s="102"/>
      <c r="G97" s="102"/>
      <c r="H97" s="102"/>
      <c r="I97" s="102"/>
      <c r="J97" s="102"/>
      <c r="K97" s="104"/>
      <c r="L97" s="63" t="str">
        <f t="shared" ca="1" si="4"/>
        <v/>
      </c>
      <c r="M97" s="104"/>
      <c r="N97" s="105"/>
      <c r="O97" s="104"/>
      <c r="P97" s="102"/>
      <c r="Q97" s="102"/>
      <c r="R97" s="106"/>
      <c r="S97" s="107"/>
      <c r="T97" s="102"/>
      <c r="U97" s="102"/>
      <c r="V97" s="102"/>
      <c r="W97" s="102"/>
      <c r="X97" s="102"/>
      <c r="Y97" s="102"/>
      <c r="Z97" s="102"/>
      <c r="AA97" s="102"/>
      <c r="AB97" s="105"/>
      <c r="AC97" s="109"/>
      <c r="AD97" s="107"/>
      <c r="AE97" s="102"/>
      <c r="AF97" s="109"/>
      <c r="AG97" s="107"/>
      <c r="AH97" s="111"/>
      <c r="AI97" s="111"/>
      <c r="AJ97" s="131" t="str">
        <f t="shared" ca="1" si="1"/>
        <v/>
      </c>
      <c r="AK97" s="102"/>
      <c r="AL97" s="102"/>
      <c r="AM97" s="105"/>
      <c r="AN97" s="105"/>
      <c r="AO97" s="105"/>
      <c r="AP97" s="109"/>
      <c r="AQ97" s="112"/>
      <c r="AR97" s="102"/>
      <c r="AS97" s="102"/>
      <c r="AT97" s="113"/>
      <c r="AU97" s="114"/>
      <c r="AV97" s="107"/>
      <c r="AW97" s="109"/>
      <c r="AX97" s="115">
        <f t="shared" si="5"/>
        <v>1900</v>
      </c>
      <c r="AY97" s="115">
        <f t="shared" si="6"/>
        <v>1900</v>
      </c>
    </row>
    <row r="98" spans="1:51" ht="22.5" customHeight="1">
      <c r="A98" s="102"/>
      <c r="B98" s="102"/>
      <c r="C98" s="102"/>
      <c r="D98" s="102"/>
      <c r="E98" s="102"/>
      <c r="F98" s="102"/>
      <c r="G98" s="102"/>
      <c r="H98" s="102"/>
      <c r="I98" s="102"/>
      <c r="J98" s="102"/>
      <c r="K98" s="104"/>
      <c r="L98" s="63" t="str">
        <f t="shared" ca="1" si="4"/>
        <v/>
      </c>
      <c r="M98" s="104"/>
      <c r="N98" s="105"/>
      <c r="O98" s="104"/>
      <c r="P98" s="102"/>
      <c r="Q98" s="102"/>
      <c r="R98" s="106"/>
      <c r="S98" s="107"/>
      <c r="T98" s="102"/>
      <c r="U98" s="102"/>
      <c r="V98" s="102"/>
      <c r="W98" s="102"/>
      <c r="X98" s="102"/>
      <c r="Y98" s="102"/>
      <c r="Z98" s="102"/>
      <c r="AA98" s="102"/>
      <c r="AB98" s="105"/>
      <c r="AC98" s="105"/>
      <c r="AD98" s="108"/>
      <c r="AE98" s="102"/>
      <c r="AF98" s="109"/>
      <c r="AG98" s="107"/>
      <c r="AH98" s="111"/>
      <c r="AI98" s="111"/>
      <c r="AJ98" s="131" t="str">
        <f t="shared" ca="1" si="1"/>
        <v/>
      </c>
      <c r="AK98" s="102"/>
      <c r="AL98" s="102"/>
      <c r="AM98" s="105"/>
      <c r="AN98" s="105"/>
      <c r="AO98" s="105"/>
      <c r="AP98" s="109"/>
      <c r="AQ98" s="112"/>
      <c r="AR98" s="102"/>
      <c r="AS98" s="102"/>
      <c r="AT98" s="113"/>
      <c r="AU98" s="114"/>
      <c r="AV98" s="107"/>
      <c r="AW98" s="109"/>
      <c r="AX98" s="115">
        <f t="shared" si="5"/>
        <v>1900</v>
      </c>
      <c r="AY98" s="115">
        <f t="shared" si="6"/>
        <v>1900</v>
      </c>
    </row>
    <row r="99" spans="1:51" ht="22.5" customHeight="1">
      <c r="A99" s="102"/>
      <c r="B99" s="102"/>
      <c r="C99" s="102"/>
      <c r="D99" s="102"/>
      <c r="E99" s="102"/>
      <c r="F99" s="102"/>
      <c r="G99" s="102"/>
      <c r="H99" s="102"/>
      <c r="I99" s="102"/>
      <c r="J99" s="102"/>
      <c r="K99" s="104"/>
      <c r="L99" s="63" t="str">
        <f t="shared" ca="1" si="4"/>
        <v/>
      </c>
      <c r="M99" s="104"/>
      <c r="N99" s="105"/>
      <c r="O99" s="104"/>
      <c r="P99" s="102"/>
      <c r="Q99" s="102"/>
      <c r="R99" s="106"/>
      <c r="S99" s="107"/>
      <c r="T99" s="102"/>
      <c r="U99" s="102"/>
      <c r="V99" s="102"/>
      <c r="W99" s="102"/>
      <c r="X99" s="102"/>
      <c r="Y99" s="102"/>
      <c r="Z99" s="102"/>
      <c r="AA99" s="102"/>
      <c r="AB99" s="105"/>
      <c r="AC99" s="105"/>
      <c r="AD99" s="108"/>
      <c r="AE99" s="102"/>
      <c r="AF99" s="109"/>
      <c r="AG99" s="107"/>
      <c r="AH99" s="111"/>
      <c r="AI99" s="111"/>
      <c r="AJ99" s="131" t="str">
        <f t="shared" ca="1" si="1"/>
        <v/>
      </c>
      <c r="AK99" s="102"/>
      <c r="AL99" s="102"/>
      <c r="AM99" s="105"/>
      <c r="AN99" s="105"/>
      <c r="AO99" s="105"/>
      <c r="AP99" s="109"/>
      <c r="AQ99" s="112"/>
      <c r="AR99" s="102"/>
      <c r="AS99" s="102"/>
      <c r="AT99" s="113"/>
      <c r="AU99" s="114"/>
      <c r="AV99" s="107"/>
      <c r="AW99" s="109"/>
      <c r="AX99" s="115">
        <f t="shared" si="5"/>
        <v>1900</v>
      </c>
      <c r="AY99" s="115">
        <f t="shared" si="6"/>
        <v>1900</v>
      </c>
    </row>
    <row r="100" spans="1:51" ht="22.5" customHeight="1">
      <c r="A100" s="102"/>
      <c r="B100" s="102"/>
      <c r="C100" s="102"/>
      <c r="D100" s="102"/>
      <c r="E100" s="102"/>
      <c r="F100" s="102"/>
      <c r="G100" s="102"/>
      <c r="H100" s="102"/>
      <c r="I100" s="102"/>
      <c r="J100" s="102"/>
      <c r="K100" s="104"/>
      <c r="L100" s="63" t="str">
        <f t="shared" ca="1" si="4"/>
        <v/>
      </c>
      <c r="M100" s="104"/>
      <c r="N100" s="105"/>
      <c r="O100" s="104"/>
      <c r="P100" s="102"/>
      <c r="Q100" s="102"/>
      <c r="R100" s="106"/>
      <c r="S100" s="107"/>
      <c r="T100" s="102"/>
      <c r="U100" s="102"/>
      <c r="V100" s="102"/>
      <c r="W100" s="102"/>
      <c r="X100" s="102"/>
      <c r="Y100" s="102"/>
      <c r="Z100" s="102"/>
      <c r="AA100" s="102"/>
      <c r="AB100" s="105"/>
      <c r="AC100" s="105"/>
      <c r="AD100" s="108"/>
      <c r="AE100" s="102"/>
      <c r="AF100" s="109"/>
      <c r="AG100" s="107"/>
      <c r="AH100" s="111"/>
      <c r="AI100" s="111"/>
      <c r="AJ100" s="131" t="str">
        <f t="shared" ca="1" si="1"/>
        <v/>
      </c>
      <c r="AK100" s="102"/>
      <c r="AL100" s="102"/>
      <c r="AM100" s="105"/>
      <c r="AN100" s="105"/>
      <c r="AO100" s="105"/>
      <c r="AP100" s="109"/>
      <c r="AQ100" s="112"/>
      <c r="AR100" s="102"/>
      <c r="AS100" s="102"/>
      <c r="AT100" s="113"/>
      <c r="AU100" s="114"/>
      <c r="AV100" s="107"/>
      <c r="AW100" s="109"/>
      <c r="AX100" s="115">
        <f t="shared" si="5"/>
        <v>1900</v>
      </c>
      <c r="AY100" s="115">
        <f t="shared" si="6"/>
        <v>1900</v>
      </c>
    </row>
    <row r="101" spans="1:51" ht="22.5" customHeight="1">
      <c r="A101" s="102"/>
      <c r="B101" s="102"/>
      <c r="C101" s="102"/>
      <c r="D101" s="102"/>
      <c r="E101" s="102"/>
      <c r="F101" s="102"/>
      <c r="G101" s="102"/>
      <c r="H101" s="102"/>
      <c r="I101" s="102"/>
      <c r="J101" s="102"/>
      <c r="K101" s="104"/>
      <c r="L101" s="63" t="str">
        <f t="shared" ca="1" si="4"/>
        <v/>
      </c>
      <c r="M101" s="104"/>
      <c r="N101" s="105"/>
      <c r="O101" s="104"/>
      <c r="P101" s="102"/>
      <c r="Q101" s="102"/>
      <c r="R101" s="106"/>
      <c r="S101" s="107"/>
      <c r="T101" s="102"/>
      <c r="U101" s="102"/>
      <c r="V101" s="102"/>
      <c r="W101" s="102"/>
      <c r="X101" s="102"/>
      <c r="Y101" s="102"/>
      <c r="Z101" s="102"/>
      <c r="AA101" s="102"/>
      <c r="AB101" s="105"/>
      <c r="AC101" s="109"/>
      <c r="AD101" s="107"/>
      <c r="AE101" s="102"/>
      <c r="AF101" s="109"/>
      <c r="AG101" s="107"/>
      <c r="AH101" s="111"/>
      <c r="AI101" s="111"/>
      <c r="AJ101" s="131" t="str">
        <f t="shared" ca="1" si="1"/>
        <v/>
      </c>
      <c r="AK101" s="102"/>
      <c r="AL101" s="102"/>
      <c r="AM101" s="105"/>
      <c r="AN101" s="105"/>
      <c r="AO101" s="105"/>
      <c r="AP101" s="109"/>
      <c r="AQ101" s="112"/>
      <c r="AR101" s="102"/>
      <c r="AS101" s="102"/>
      <c r="AT101" s="113"/>
      <c r="AU101" s="114"/>
      <c r="AV101" s="107"/>
      <c r="AW101" s="109"/>
      <c r="AX101" s="115">
        <f t="shared" si="5"/>
        <v>1900</v>
      </c>
      <c r="AY101" s="115">
        <f t="shared" si="6"/>
        <v>1900</v>
      </c>
    </row>
    <row r="102" spans="1:51" ht="22.5" customHeight="1">
      <c r="A102" s="102"/>
      <c r="B102" s="102"/>
      <c r="C102" s="102"/>
      <c r="D102" s="102"/>
      <c r="E102" s="102"/>
      <c r="F102" s="102"/>
      <c r="G102" s="102"/>
      <c r="H102" s="102"/>
      <c r="I102" s="102"/>
      <c r="J102" s="102"/>
      <c r="K102" s="104"/>
      <c r="L102" s="63" t="str">
        <f t="shared" ca="1" si="4"/>
        <v/>
      </c>
      <c r="M102" s="104"/>
      <c r="N102" s="105"/>
      <c r="O102" s="104"/>
      <c r="P102" s="102"/>
      <c r="Q102" s="102"/>
      <c r="R102" s="106"/>
      <c r="S102" s="107"/>
      <c r="T102" s="102"/>
      <c r="U102" s="102"/>
      <c r="V102" s="102"/>
      <c r="W102" s="102"/>
      <c r="X102" s="102"/>
      <c r="Y102" s="102"/>
      <c r="Z102" s="102"/>
      <c r="AA102" s="102"/>
      <c r="AB102" s="105"/>
      <c r="AC102" s="109"/>
      <c r="AD102" s="107"/>
      <c r="AE102" s="102"/>
      <c r="AF102" s="109"/>
      <c r="AG102" s="107"/>
      <c r="AH102" s="111"/>
      <c r="AI102" s="111"/>
      <c r="AJ102" s="131" t="str">
        <f t="shared" ca="1" si="1"/>
        <v/>
      </c>
      <c r="AK102" s="102"/>
      <c r="AL102" s="102"/>
      <c r="AM102" s="105"/>
      <c r="AN102" s="105"/>
      <c r="AO102" s="105"/>
      <c r="AP102" s="109"/>
      <c r="AQ102" s="112"/>
      <c r="AR102" s="102"/>
      <c r="AS102" s="102"/>
      <c r="AT102" s="113"/>
      <c r="AU102" s="114"/>
      <c r="AV102" s="107"/>
      <c r="AW102" s="109"/>
      <c r="AX102" s="115">
        <f t="shared" si="5"/>
        <v>1900</v>
      </c>
      <c r="AY102" s="115">
        <f t="shared" si="6"/>
        <v>1900</v>
      </c>
    </row>
    <row r="103" spans="1:51" ht="22.5" customHeight="1">
      <c r="A103" s="102"/>
      <c r="B103" s="102"/>
      <c r="C103" s="102"/>
      <c r="D103" s="102"/>
      <c r="E103" s="102"/>
      <c r="F103" s="102"/>
      <c r="G103" s="102"/>
      <c r="H103" s="102"/>
      <c r="I103" s="102"/>
      <c r="J103" s="102"/>
      <c r="K103" s="104"/>
      <c r="L103" s="63" t="str">
        <f t="shared" ca="1" si="4"/>
        <v/>
      </c>
      <c r="M103" s="104"/>
      <c r="N103" s="105"/>
      <c r="O103" s="104"/>
      <c r="P103" s="102"/>
      <c r="Q103" s="102"/>
      <c r="R103" s="106"/>
      <c r="S103" s="107"/>
      <c r="T103" s="102"/>
      <c r="U103" s="102"/>
      <c r="V103" s="102"/>
      <c r="W103" s="102"/>
      <c r="X103" s="102"/>
      <c r="Y103" s="102"/>
      <c r="Z103" s="102"/>
      <c r="AA103" s="102"/>
      <c r="AB103" s="105"/>
      <c r="AC103" s="109"/>
      <c r="AD103" s="107"/>
      <c r="AE103" s="102"/>
      <c r="AF103" s="109"/>
      <c r="AG103" s="107"/>
      <c r="AH103" s="111"/>
      <c r="AI103" s="111"/>
      <c r="AJ103" s="131" t="str">
        <f t="shared" ca="1" si="1"/>
        <v/>
      </c>
      <c r="AK103" s="102"/>
      <c r="AL103" s="102"/>
      <c r="AM103" s="105"/>
      <c r="AN103" s="105"/>
      <c r="AO103" s="105"/>
      <c r="AP103" s="109"/>
      <c r="AQ103" s="112"/>
      <c r="AR103" s="102"/>
      <c r="AS103" s="102"/>
      <c r="AT103" s="113"/>
      <c r="AU103" s="114"/>
      <c r="AV103" s="107"/>
      <c r="AW103" s="109"/>
      <c r="AX103" s="115">
        <f t="shared" si="5"/>
        <v>1900</v>
      </c>
      <c r="AY103" s="115">
        <f t="shared" si="6"/>
        <v>1900</v>
      </c>
    </row>
    <row r="104" spans="1:51" ht="22.5" customHeight="1">
      <c r="A104" s="102"/>
      <c r="B104" s="102"/>
      <c r="C104" s="102"/>
      <c r="D104" s="102"/>
      <c r="E104" s="102"/>
      <c r="F104" s="102"/>
      <c r="G104" s="102"/>
      <c r="H104" s="102"/>
      <c r="I104" s="102"/>
      <c r="J104" s="102"/>
      <c r="K104" s="104"/>
      <c r="L104" s="63" t="str">
        <f t="shared" ca="1" si="4"/>
        <v/>
      </c>
      <c r="M104" s="104"/>
      <c r="N104" s="105"/>
      <c r="O104" s="104"/>
      <c r="P104" s="102"/>
      <c r="Q104" s="102"/>
      <c r="R104" s="106"/>
      <c r="S104" s="107"/>
      <c r="T104" s="102"/>
      <c r="U104" s="102"/>
      <c r="V104" s="102"/>
      <c r="W104" s="102"/>
      <c r="X104" s="102"/>
      <c r="Y104" s="102"/>
      <c r="Z104" s="102"/>
      <c r="AA104" s="102"/>
      <c r="AB104" s="105"/>
      <c r="AC104" s="109"/>
      <c r="AD104" s="107"/>
      <c r="AE104" s="102"/>
      <c r="AF104" s="109"/>
      <c r="AG104" s="107"/>
      <c r="AH104" s="111"/>
      <c r="AI104" s="111"/>
      <c r="AJ104" s="131" t="str">
        <f t="shared" ca="1" si="1"/>
        <v/>
      </c>
      <c r="AK104" s="102"/>
      <c r="AL104" s="102"/>
      <c r="AM104" s="105"/>
      <c r="AN104" s="105"/>
      <c r="AO104" s="105"/>
      <c r="AP104" s="109"/>
      <c r="AQ104" s="112"/>
      <c r="AR104" s="102"/>
      <c r="AS104" s="102"/>
      <c r="AT104" s="113"/>
      <c r="AU104" s="114"/>
      <c r="AV104" s="107"/>
      <c r="AW104" s="109"/>
      <c r="AX104" s="115">
        <f t="shared" si="5"/>
        <v>1900</v>
      </c>
      <c r="AY104" s="115">
        <f t="shared" si="6"/>
        <v>1900</v>
      </c>
    </row>
    <row r="105" spans="1:51" ht="22.5" customHeight="1">
      <c r="A105" s="102"/>
      <c r="B105" s="102"/>
      <c r="C105" s="102"/>
      <c r="D105" s="102"/>
      <c r="E105" s="102"/>
      <c r="F105" s="102"/>
      <c r="G105" s="102"/>
      <c r="H105" s="102"/>
      <c r="I105" s="102"/>
      <c r="J105" s="102"/>
      <c r="K105" s="104"/>
      <c r="L105" s="63" t="str">
        <f t="shared" ca="1" si="0"/>
        <v/>
      </c>
      <c r="M105" s="104"/>
      <c r="N105" s="105"/>
      <c r="O105" s="104"/>
      <c r="P105" s="102"/>
      <c r="Q105" s="102"/>
      <c r="R105" s="106"/>
      <c r="S105" s="107"/>
      <c r="T105" s="102"/>
      <c r="U105" s="102"/>
      <c r="V105" s="102"/>
      <c r="W105" s="102"/>
      <c r="X105" s="102"/>
      <c r="Y105" s="102"/>
      <c r="Z105" s="102"/>
      <c r="AA105" s="102"/>
      <c r="AB105" s="105"/>
      <c r="AC105" s="105"/>
      <c r="AD105" s="108"/>
      <c r="AE105" s="102"/>
      <c r="AF105" s="109"/>
      <c r="AG105" s="107"/>
      <c r="AH105" s="111"/>
      <c r="AI105" s="111"/>
      <c r="AJ105" s="131" t="str">
        <f t="shared" ref="AJ105:AJ168" ca="1" si="7">IF(AL105="Inactive",IF(AU105="", "", ROUNDDOWN(YEARFRAC(AH105, AU105, 1), 0)),IF(AH105="","",ROUNDDOWN(YEARFRAC(AH105, TODAY(), 1), 0)))</f>
        <v/>
      </c>
      <c r="AK105" s="102"/>
      <c r="AL105" s="102"/>
      <c r="AM105" s="105"/>
      <c r="AN105" s="105"/>
      <c r="AO105" s="105"/>
      <c r="AP105" s="109"/>
      <c r="AQ105" s="112"/>
      <c r="AR105" s="102"/>
      <c r="AS105" s="102"/>
      <c r="AT105" s="113"/>
      <c r="AU105" s="114"/>
      <c r="AV105" s="107"/>
      <c r="AW105" s="109"/>
      <c r="AX105" s="115">
        <f t="shared" si="2"/>
        <v>1900</v>
      </c>
      <c r="AY105" s="115">
        <f t="shared" si="3"/>
        <v>1900</v>
      </c>
    </row>
    <row r="106" spans="1:51" ht="22.5" customHeight="1">
      <c r="A106" s="102"/>
      <c r="B106" s="102"/>
      <c r="C106" s="102"/>
      <c r="D106" s="102"/>
      <c r="E106" s="102"/>
      <c r="F106" s="102"/>
      <c r="G106" s="102"/>
      <c r="H106" s="102"/>
      <c r="I106" s="102"/>
      <c r="J106" s="102"/>
      <c r="K106" s="104"/>
      <c r="L106" s="63" t="str">
        <f t="shared" ca="1" si="0"/>
        <v/>
      </c>
      <c r="M106" s="104"/>
      <c r="N106" s="105"/>
      <c r="O106" s="104"/>
      <c r="P106" s="102"/>
      <c r="Q106" s="102"/>
      <c r="R106" s="106"/>
      <c r="S106" s="107"/>
      <c r="T106" s="102"/>
      <c r="U106" s="102"/>
      <c r="V106" s="102"/>
      <c r="W106" s="102"/>
      <c r="X106" s="102"/>
      <c r="Y106" s="102"/>
      <c r="Z106" s="102"/>
      <c r="AA106" s="102"/>
      <c r="AB106" s="105"/>
      <c r="AC106" s="105"/>
      <c r="AD106" s="108"/>
      <c r="AE106" s="102"/>
      <c r="AF106" s="109"/>
      <c r="AG106" s="107"/>
      <c r="AH106" s="111"/>
      <c r="AI106" s="111"/>
      <c r="AJ106" s="131" t="str">
        <f t="shared" ca="1" si="7"/>
        <v/>
      </c>
      <c r="AK106" s="102"/>
      <c r="AL106" s="102"/>
      <c r="AM106" s="105"/>
      <c r="AN106" s="105"/>
      <c r="AO106" s="105"/>
      <c r="AP106" s="109"/>
      <c r="AQ106" s="112"/>
      <c r="AR106" s="102"/>
      <c r="AS106" s="102"/>
      <c r="AT106" s="113"/>
      <c r="AU106" s="114"/>
      <c r="AV106" s="107"/>
      <c r="AW106" s="109"/>
      <c r="AX106" s="115">
        <f t="shared" si="2"/>
        <v>1900</v>
      </c>
      <c r="AY106" s="115">
        <f t="shared" si="3"/>
        <v>1900</v>
      </c>
    </row>
    <row r="107" spans="1:51" ht="22.5" customHeight="1">
      <c r="A107" s="102"/>
      <c r="B107" s="102"/>
      <c r="C107" s="102"/>
      <c r="D107" s="102"/>
      <c r="E107" s="102"/>
      <c r="F107" s="102"/>
      <c r="G107" s="102"/>
      <c r="H107" s="102"/>
      <c r="I107" s="102"/>
      <c r="J107" s="102"/>
      <c r="K107" s="104"/>
      <c r="L107" s="63" t="str">
        <f t="shared" ca="1" si="0"/>
        <v/>
      </c>
      <c r="M107" s="104"/>
      <c r="N107" s="105"/>
      <c r="O107" s="104"/>
      <c r="P107" s="102"/>
      <c r="Q107" s="102"/>
      <c r="R107" s="106"/>
      <c r="S107" s="107"/>
      <c r="T107" s="102"/>
      <c r="U107" s="102"/>
      <c r="V107" s="102"/>
      <c r="W107" s="102"/>
      <c r="X107" s="102"/>
      <c r="Y107" s="102"/>
      <c r="Z107" s="102"/>
      <c r="AA107" s="102"/>
      <c r="AB107" s="105"/>
      <c r="AC107" s="105"/>
      <c r="AD107" s="108"/>
      <c r="AE107" s="102"/>
      <c r="AF107" s="109"/>
      <c r="AG107" s="107"/>
      <c r="AH107" s="111"/>
      <c r="AI107" s="111"/>
      <c r="AJ107" s="131" t="str">
        <f t="shared" ca="1" si="7"/>
        <v/>
      </c>
      <c r="AK107" s="102"/>
      <c r="AL107" s="102"/>
      <c r="AM107" s="105"/>
      <c r="AN107" s="105"/>
      <c r="AO107" s="105"/>
      <c r="AP107" s="109"/>
      <c r="AQ107" s="112"/>
      <c r="AR107" s="102"/>
      <c r="AS107" s="102"/>
      <c r="AT107" s="113"/>
      <c r="AU107" s="108"/>
      <c r="AV107" s="107"/>
      <c r="AW107" s="109"/>
      <c r="AX107" s="115">
        <f t="shared" si="2"/>
        <v>1900</v>
      </c>
      <c r="AY107" s="115">
        <f t="shared" si="3"/>
        <v>1900</v>
      </c>
    </row>
    <row r="108" spans="1:51" ht="22.5" customHeight="1">
      <c r="A108" s="102"/>
      <c r="B108" s="102"/>
      <c r="C108" s="102"/>
      <c r="D108" s="102"/>
      <c r="E108" s="102"/>
      <c r="F108" s="102"/>
      <c r="G108" s="102"/>
      <c r="H108" s="102"/>
      <c r="I108" s="102"/>
      <c r="J108" s="102"/>
      <c r="K108" s="104"/>
      <c r="L108" s="63" t="str">
        <f t="shared" ca="1" si="0"/>
        <v/>
      </c>
      <c r="M108" s="104"/>
      <c r="N108" s="105"/>
      <c r="O108" s="104"/>
      <c r="P108" s="102"/>
      <c r="Q108" s="102"/>
      <c r="R108" s="106"/>
      <c r="S108" s="107"/>
      <c r="T108" s="102"/>
      <c r="U108" s="102"/>
      <c r="V108" s="102"/>
      <c r="W108" s="102"/>
      <c r="X108" s="102"/>
      <c r="Y108" s="102"/>
      <c r="Z108" s="102"/>
      <c r="AA108" s="102"/>
      <c r="AB108" s="105"/>
      <c r="AC108" s="105"/>
      <c r="AD108" s="108"/>
      <c r="AE108" s="102"/>
      <c r="AF108" s="109"/>
      <c r="AG108" s="107"/>
      <c r="AH108" s="111"/>
      <c r="AI108" s="111"/>
      <c r="AJ108" s="131" t="str">
        <f t="shared" ca="1" si="7"/>
        <v/>
      </c>
      <c r="AK108" s="102"/>
      <c r="AL108" s="102"/>
      <c r="AM108" s="116"/>
      <c r="AN108" s="105"/>
      <c r="AO108" s="105"/>
      <c r="AP108" s="109"/>
      <c r="AQ108" s="112"/>
      <c r="AR108" s="102"/>
      <c r="AS108" s="102"/>
      <c r="AT108" s="113"/>
      <c r="AU108" s="108"/>
      <c r="AV108" s="107"/>
      <c r="AW108" s="109"/>
      <c r="AX108" s="115">
        <f t="shared" si="2"/>
        <v>1900</v>
      </c>
      <c r="AY108" s="115">
        <f t="shared" si="3"/>
        <v>1900</v>
      </c>
    </row>
    <row r="109" spans="1:51" ht="22.5" customHeight="1">
      <c r="A109" s="102"/>
      <c r="B109" s="102"/>
      <c r="C109" s="102"/>
      <c r="D109" s="102"/>
      <c r="E109" s="102"/>
      <c r="F109" s="102"/>
      <c r="G109" s="102"/>
      <c r="H109" s="102"/>
      <c r="I109" s="102"/>
      <c r="J109" s="102"/>
      <c r="K109" s="104"/>
      <c r="L109" s="63" t="str">
        <f t="shared" ca="1" si="0"/>
        <v/>
      </c>
      <c r="M109" s="104"/>
      <c r="N109" s="105"/>
      <c r="O109" s="104"/>
      <c r="P109" s="102"/>
      <c r="Q109" s="102"/>
      <c r="R109" s="106"/>
      <c r="S109" s="107"/>
      <c r="T109" s="102"/>
      <c r="U109" s="102"/>
      <c r="V109" s="102"/>
      <c r="W109" s="102"/>
      <c r="X109" s="102"/>
      <c r="Y109" s="102"/>
      <c r="Z109" s="102"/>
      <c r="AA109" s="102"/>
      <c r="AB109" s="105"/>
      <c r="AC109" s="105"/>
      <c r="AD109" s="108"/>
      <c r="AE109" s="102"/>
      <c r="AF109" s="109"/>
      <c r="AG109" s="107"/>
      <c r="AH109" s="111"/>
      <c r="AI109" s="111"/>
      <c r="AJ109" s="131" t="str">
        <f t="shared" ca="1" si="7"/>
        <v/>
      </c>
      <c r="AK109" s="102"/>
      <c r="AL109" s="102"/>
      <c r="AM109" s="105"/>
      <c r="AN109" s="105"/>
      <c r="AO109" s="105"/>
      <c r="AP109" s="109"/>
      <c r="AQ109" s="112"/>
      <c r="AR109" s="102"/>
      <c r="AS109" s="102"/>
      <c r="AT109" s="113"/>
      <c r="AU109" s="108"/>
      <c r="AV109" s="107"/>
      <c r="AW109" s="109"/>
      <c r="AX109" s="115">
        <f t="shared" si="2"/>
        <v>1900</v>
      </c>
      <c r="AY109" s="115">
        <f t="shared" si="3"/>
        <v>1900</v>
      </c>
    </row>
    <row r="110" spans="1:51" ht="22.5" customHeight="1">
      <c r="A110" s="102"/>
      <c r="B110" s="102"/>
      <c r="C110" s="102"/>
      <c r="D110" s="102"/>
      <c r="E110" s="102"/>
      <c r="F110" s="102"/>
      <c r="G110" s="102"/>
      <c r="H110" s="102"/>
      <c r="I110" s="102"/>
      <c r="J110" s="102"/>
      <c r="K110" s="104"/>
      <c r="L110" s="63" t="str">
        <f t="shared" ca="1" si="0"/>
        <v/>
      </c>
      <c r="M110" s="104"/>
      <c r="N110" s="105"/>
      <c r="O110" s="104"/>
      <c r="P110" s="102"/>
      <c r="Q110" s="102"/>
      <c r="R110" s="106"/>
      <c r="S110" s="107"/>
      <c r="T110" s="102"/>
      <c r="U110" s="102"/>
      <c r="V110" s="102"/>
      <c r="W110" s="102"/>
      <c r="X110" s="102"/>
      <c r="Y110" s="102"/>
      <c r="Z110" s="102"/>
      <c r="AA110" s="102"/>
      <c r="AB110" s="105"/>
      <c r="AC110" s="105"/>
      <c r="AD110" s="108"/>
      <c r="AE110" s="102"/>
      <c r="AF110" s="109"/>
      <c r="AG110" s="107"/>
      <c r="AH110" s="111"/>
      <c r="AI110" s="111"/>
      <c r="AJ110" s="131" t="str">
        <f t="shared" ca="1" si="7"/>
        <v/>
      </c>
      <c r="AK110" s="102"/>
      <c r="AL110" s="102"/>
      <c r="AM110" s="105"/>
      <c r="AN110" s="105"/>
      <c r="AO110" s="105"/>
      <c r="AP110" s="109"/>
      <c r="AQ110" s="112"/>
      <c r="AR110" s="102"/>
      <c r="AS110" s="102"/>
      <c r="AT110" s="113"/>
      <c r="AU110" s="108"/>
      <c r="AV110" s="107"/>
      <c r="AW110" s="109"/>
      <c r="AX110" s="115">
        <f t="shared" si="2"/>
        <v>1900</v>
      </c>
      <c r="AY110" s="115">
        <f t="shared" si="3"/>
        <v>1900</v>
      </c>
    </row>
    <row r="111" spans="1:51" ht="22.5" customHeight="1">
      <c r="A111" s="102"/>
      <c r="B111" s="102"/>
      <c r="C111" s="102"/>
      <c r="D111" s="102"/>
      <c r="E111" s="102"/>
      <c r="F111" s="102"/>
      <c r="G111" s="102"/>
      <c r="H111" s="102"/>
      <c r="I111" s="102"/>
      <c r="J111" s="102"/>
      <c r="K111" s="104"/>
      <c r="L111" s="63" t="str">
        <f t="shared" ca="1" si="0"/>
        <v/>
      </c>
      <c r="M111" s="104"/>
      <c r="N111" s="105"/>
      <c r="O111" s="104"/>
      <c r="P111" s="102"/>
      <c r="Q111" s="102"/>
      <c r="R111" s="106"/>
      <c r="S111" s="107"/>
      <c r="T111" s="102"/>
      <c r="U111" s="102"/>
      <c r="V111" s="102"/>
      <c r="W111" s="102"/>
      <c r="X111" s="102"/>
      <c r="Y111" s="102"/>
      <c r="Z111" s="102"/>
      <c r="AA111" s="102"/>
      <c r="AB111" s="105"/>
      <c r="AC111" s="105"/>
      <c r="AD111" s="108"/>
      <c r="AE111" s="102"/>
      <c r="AF111" s="109"/>
      <c r="AG111" s="107"/>
      <c r="AH111" s="111"/>
      <c r="AI111" s="111"/>
      <c r="AJ111" s="131" t="str">
        <f t="shared" ca="1" si="7"/>
        <v/>
      </c>
      <c r="AK111" s="102"/>
      <c r="AL111" s="102"/>
      <c r="AM111" s="105"/>
      <c r="AN111" s="105"/>
      <c r="AO111" s="105"/>
      <c r="AP111" s="109"/>
      <c r="AQ111" s="112"/>
      <c r="AR111" s="102"/>
      <c r="AS111" s="102"/>
      <c r="AT111" s="113"/>
      <c r="AU111" s="108"/>
      <c r="AV111" s="107"/>
      <c r="AW111" s="109"/>
      <c r="AX111" s="115">
        <f t="shared" si="2"/>
        <v>1900</v>
      </c>
      <c r="AY111" s="115">
        <f t="shared" si="3"/>
        <v>1900</v>
      </c>
    </row>
    <row r="112" spans="1:51" ht="22.5" customHeight="1">
      <c r="A112" s="102"/>
      <c r="B112" s="102"/>
      <c r="C112" s="102"/>
      <c r="D112" s="102"/>
      <c r="E112" s="102"/>
      <c r="F112" s="102"/>
      <c r="G112" s="102"/>
      <c r="H112" s="102"/>
      <c r="I112" s="102"/>
      <c r="J112" s="102"/>
      <c r="K112" s="104"/>
      <c r="L112" s="63" t="str">
        <f t="shared" ca="1" si="0"/>
        <v/>
      </c>
      <c r="M112" s="104"/>
      <c r="N112" s="105"/>
      <c r="O112" s="104"/>
      <c r="P112" s="102"/>
      <c r="Q112" s="102"/>
      <c r="R112" s="106"/>
      <c r="S112" s="107"/>
      <c r="T112" s="102"/>
      <c r="U112" s="102"/>
      <c r="V112" s="102"/>
      <c r="W112" s="102"/>
      <c r="X112" s="102"/>
      <c r="Y112" s="102"/>
      <c r="Z112" s="102"/>
      <c r="AA112" s="102"/>
      <c r="AB112" s="105"/>
      <c r="AC112" s="105"/>
      <c r="AD112" s="108"/>
      <c r="AE112" s="102"/>
      <c r="AF112" s="109"/>
      <c r="AG112" s="107"/>
      <c r="AH112" s="111"/>
      <c r="AI112" s="111"/>
      <c r="AJ112" s="131" t="str">
        <f t="shared" ca="1" si="7"/>
        <v/>
      </c>
      <c r="AK112" s="102"/>
      <c r="AL112" s="102"/>
      <c r="AM112" s="105"/>
      <c r="AN112" s="105"/>
      <c r="AO112" s="105"/>
      <c r="AP112" s="109"/>
      <c r="AQ112" s="112"/>
      <c r="AR112" s="102"/>
      <c r="AS112" s="102"/>
      <c r="AT112" s="113"/>
      <c r="AU112" s="108"/>
      <c r="AV112" s="107"/>
      <c r="AW112" s="109"/>
      <c r="AX112" s="115">
        <f t="shared" si="2"/>
        <v>1900</v>
      </c>
      <c r="AY112" s="115">
        <f t="shared" si="3"/>
        <v>1900</v>
      </c>
    </row>
    <row r="113" spans="1:51" ht="22.5" customHeight="1">
      <c r="A113" s="102"/>
      <c r="B113" s="102"/>
      <c r="C113" s="102"/>
      <c r="D113" s="102"/>
      <c r="E113" s="102"/>
      <c r="F113" s="102"/>
      <c r="G113" s="102"/>
      <c r="H113" s="102"/>
      <c r="I113" s="102"/>
      <c r="J113" s="102"/>
      <c r="K113" s="104"/>
      <c r="L113" s="63" t="str">
        <f t="shared" ca="1" si="0"/>
        <v/>
      </c>
      <c r="M113" s="104"/>
      <c r="N113" s="105"/>
      <c r="O113" s="104"/>
      <c r="P113" s="102"/>
      <c r="Q113" s="102"/>
      <c r="R113" s="106"/>
      <c r="S113" s="107"/>
      <c r="T113" s="102"/>
      <c r="U113" s="102"/>
      <c r="V113" s="102"/>
      <c r="W113" s="102"/>
      <c r="X113" s="102"/>
      <c r="Y113" s="102"/>
      <c r="Z113" s="102"/>
      <c r="AA113" s="102"/>
      <c r="AB113" s="105"/>
      <c r="AC113" s="105"/>
      <c r="AD113" s="108"/>
      <c r="AE113" s="102"/>
      <c r="AF113" s="109"/>
      <c r="AG113" s="107"/>
      <c r="AH113" s="111"/>
      <c r="AI113" s="111"/>
      <c r="AJ113" s="131" t="str">
        <f t="shared" ca="1" si="7"/>
        <v/>
      </c>
      <c r="AK113" s="102"/>
      <c r="AL113" s="102"/>
      <c r="AM113" s="116"/>
      <c r="AN113" s="105"/>
      <c r="AO113" s="105"/>
      <c r="AP113" s="109"/>
      <c r="AQ113" s="112"/>
      <c r="AR113" s="102"/>
      <c r="AS113" s="102"/>
      <c r="AT113" s="113"/>
      <c r="AU113" s="114"/>
      <c r="AV113" s="111"/>
      <c r="AW113" s="109"/>
      <c r="AX113" s="115">
        <f t="shared" si="2"/>
        <v>1900</v>
      </c>
      <c r="AY113" s="115">
        <f t="shared" si="3"/>
        <v>1900</v>
      </c>
    </row>
    <row r="114" spans="1:51" ht="22.5" customHeight="1">
      <c r="A114" s="102"/>
      <c r="B114" s="102"/>
      <c r="C114" s="102"/>
      <c r="D114" s="102"/>
      <c r="E114" s="102"/>
      <c r="F114" s="102"/>
      <c r="G114" s="102"/>
      <c r="H114" s="102"/>
      <c r="I114" s="102"/>
      <c r="J114" s="102"/>
      <c r="K114" s="104"/>
      <c r="L114" s="63" t="str">
        <f t="shared" ca="1" si="0"/>
        <v/>
      </c>
      <c r="M114" s="104"/>
      <c r="N114" s="105"/>
      <c r="O114" s="104"/>
      <c r="P114" s="102"/>
      <c r="Q114" s="102"/>
      <c r="R114" s="106"/>
      <c r="S114" s="107"/>
      <c r="T114" s="102"/>
      <c r="U114" s="102"/>
      <c r="V114" s="102"/>
      <c r="W114" s="102"/>
      <c r="X114" s="102"/>
      <c r="Y114" s="102"/>
      <c r="Z114" s="102"/>
      <c r="AA114" s="102"/>
      <c r="AB114" s="105"/>
      <c r="AC114" s="117"/>
      <c r="AD114" s="108"/>
      <c r="AE114" s="102"/>
      <c r="AF114" s="109"/>
      <c r="AG114" s="107"/>
      <c r="AH114" s="111"/>
      <c r="AI114" s="111"/>
      <c r="AJ114" s="131" t="str">
        <f t="shared" ca="1" si="7"/>
        <v/>
      </c>
      <c r="AK114" s="102"/>
      <c r="AL114" s="102"/>
      <c r="AM114" s="105"/>
      <c r="AN114" s="105"/>
      <c r="AO114" s="105"/>
      <c r="AP114" s="109"/>
      <c r="AQ114" s="112"/>
      <c r="AR114" s="102"/>
      <c r="AS114" s="102"/>
      <c r="AT114" s="113"/>
      <c r="AU114" s="114"/>
      <c r="AV114" s="111"/>
      <c r="AW114" s="109"/>
      <c r="AX114" s="115">
        <f t="shared" si="2"/>
        <v>1900</v>
      </c>
      <c r="AY114" s="115">
        <f t="shared" si="3"/>
        <v>1900</v>
      </c>
    </row>
    <row r="115" spans="1:51" ht="22.5" customHeight="1">
      <c r="A115" s="102"/>
      <c r="B115" s="102"/>
      <c r="C115" s="102"/>
      <c r="D115" s="102"/>
      <c r="E115" s="102"/>
      <c r="F115" s="102"/>
      <c r="G115" s="102"/>
      <c r="H115" s="102"/>
      <c r="I115" s="102"/>
      <c r="J115" s="102"/>
      <c r="K115" s="104"/>
      <c r="L115" s="63" t="str">
        <f t="shared" ca="1" si="0"/>
        <v/>
      </c>
      <c r="M115" s="104"/>
      <c r="N115" s="105"/>
      <c r="O115" s="104"/>
      <c r="P115" s="102"/>
      <c r="Q115" s="102"/>
      <c r="R115" s="106"/>
      <c r="S115" s="107"/>
      <c r="T115" s="102"/>
      <c r="U115" s="102"/>
      <c r="V115" s="102"/>
      <c r="W115" s="102"/>
      <c r="X115" s="102"/>
      <c r="Y115" s="102"/>
      <c r="Z115" s="102"/>
      <c r="AA115" s="102"/>
      <c r="AB115" s="105"/>
      <c r="AC115" s="117"/>
      <c r="AD115" s="108"/>
      <c r="AE115" s="102"/>
      <c r="AF115" s="109"/>
      <c r="AG115" s="107"/>
      <c r="AH115" s="111"/>
      <c r="AI115" s="111"/>
      <c r="AJ115" s="131" t="str">
        <f t="shared" ca="1" si="7"/>
        <v/>
      </c>
      <c r="AK115" s="102"/>
      <c r="AL115" s="102"/>
      <c r="AM115" s="105"/>
      <c r="AN115" s="105"/>
      <c r="AO115" s="105"/>
      <c r="AP115" s="109"/>
      <c r="AQ115" s="112"/>
      <c r="AR115" s="102"/>
      <c r="AS115" s="102"/>
      <c r="AT115" s="113"/>
      <c r="AU115" s="108"/>
      <c r="AV115" s="107"/>
      <c r="AW115" s="109"/>
      <c r="AX115" s="115">
        <f t="shared" si="2"/>
        <v>1900</v>
      </c>
      <c r="AY115" s="115">
        <f t="shared" si="3"/>
        <v>1900</v>
      </c>
    </row>
    <row r="116" spans="1:51" ht="22.5" customHeight="1">
      <c r="A116" s="102"/>
      <c r="B116" s="102"/>
      <c r="C116" s="102"/>
      <c r="D116" s="102"/>
      <c r="E116" s="102"/>
      <c r="F116" s="102"/>
      <c r="G116" s="102"/>
      <c r="H116" s="102"/>
      <c r="I116" s="102"/>
      <c r="J116" s="102"/>
      <c r="K116" s="104"/>
      <c r="L116" s="63" t="str">
        <f t="shared" ca="1" si="0"/>
        <v/>
      </c>
      <c r="M116" s="104"/>
      <c r="N116" s="105"/>
      <c r="O116" s="104"/>
      <c r="P116" s="102"/>
      <c r="Q116" s="102"/>
      <c r="R116" s="106"/>
      <c r="S116" s="107"/>
      <c r="T116" s="102"/>
      <c r="U116" s="102"/>
      <c r="V116" s="102"/>
      <c r="W116" s="102"/>
      <c r="X116" s="102"/>
      <c r="Y116" s="102"/>
      <c r="Z116" s="102"/>
      <c r="AA116" s="102"/>
      <c r="AB116" s="105"/>
      <c r="AC116" s="105"/>
      <c r="AD116" s="108"/>
      <c r="AE116" s="102"/>
      <c r="AF116" s="109"/>
      <c r="AG116" s="107"/>
      <c r="AH116" s="111"/>
      <c r="AI116" s="111"/>
      <c r="AJ116" s="131" t="str">
        <f t="shared" ca="1" si="7"/>
        <v/>
      </c>
      <c r="AK116" s="102"/>
      <c r="AL116" s="102"/>
      <c r="AM116" s="105"/>
      <c r="AN116" s="105"/>
      <c r="AO116" s="105"/>
      <c r="AP116" s="109"/>
      <c r="AQ116" s="112"/>
      <c r="AR116" s="102"/>
      <c r="AS116" s="102"/>
      <c r="AT116" s="113"/>
      <c r="AU116" s="108"/>
      <c r="AV116" s="107"/>
      <c r="AW116" s="109"/>
      <c r="AX116" s="115">
        <f t="shared" si="2"/>
        <v>1900</v>
      </c>
      <c r="AY116" s="115">
        <f t="shared" si="3"/>
        <v>1900</v>
      </c>
    </row>
    <row r="117" spans="1:51" ht="22.5" customHeight="1">
      <c r="A117" s="102"/>
      <c r="B117" s="102"/>
      <c r="C117" s="102"/>
      <c r="D117" s="102"/>
      <c r="E117" s="102"/>
      <c r="F117" s="102"/>
      <c r="G117" s="102"/>
      <c r="H117" s="102"/>
      <c r="I117" s="102"/>
      <c r="J117" s="102"/>
      <c r="K117" s="104"/>
      <c r="L117" s="63" t="str">
        <f t="shared" ca="1" si="0"/>
        <v/>
      </c>
      <c r="M117" s="104"/>
      <c r="N117" s="105"/>
      <c r="O117" s="104"/>
      <c r="P117" s="102"/>
      <c r="Q117" s="102"/>
      <c r="R117" s="106"/>
      <c r="S117" s="107"/>
      <c r="T117" s="102"/>
      <c r="U117" s="102"/>
      <c r="V117" s="102"/>
      <c r="W117" s="102"/>
      <c r="X117" s="102"/>
      <c r="Y117" s="102"/>
      <c r="Z117" s="102"/>
      <c r="AA117" s="102"/>
      <c r="AB117" s="105"/>
      <c r="AC117" s="105"/>
      <c r="AD117" s="108"/>
      <c r="AE117" s="102"/>
      <c r="AF117" s="109"/>
      <c r="AG117" s="107"/>
      <c r="AH117" s="111"/>
      <c r="AI117" s="111"/>
      <c r="AJ117" s="131" t="str">
        <f t="shared" ca="1" si="7"/>
        <v/>
      </c>
      <c r="AK117" s="102"/>
      <c r="AL117" s="102"/>
      <c r="AM117" s="105"/>
      <c r="AN117" s="105"/>
      <c r="AO117" s="105"/>
      <c r="AP117" s="109"/>
      <c r="AQ117" s="112"/>
      <c r="AR117" s="102"/>
      <c r="AS117" s="102"/>
      <c r="AT117" s="113"/>
      <c r="AU117" s="108"/>
      <c r="AV117" s="107"/>
      <c r="AW117" s="109"/>
      <c r="AX117" s="115">
        <f t="shared" si="2"/>
        <v>1900</v>
      </c>
      <c r="AY117" s="115">
        <f t="shared" si="3"/>
        <v>1900</v>
      </c>
    </row>
    <row r="118" spans="1:51" ht="22.5" customHeight="1">
      <c r="A118" s="102"/>
      <c r="B118" s="102"/>
      <c r="C118" s="102"/>
      <c r="D118" s="102"/>
      <c r="E118" s="102"/>
      <c r="F118" s="102"/>
      <c r="G118" s="102"/>
      <c r="H118" s="102"/>
      <c r="I118" s="102"/>
      <c r="J118" s="102"/>
      <c r="K118" s="104"/>
      <c r="L118" s="63" t="str">
        <f t="shared" ca="1" si="0"/>
        <v/>
      </c>
      <c r="M118" s="104"/>
      <c r="N118" s="105"/>
      <c r="O118" s="104"/>
      <c r="P118" s="102"/>
      <c r="Q118" s="102"/>
      <c r="R118" s="106"/>
      <c r="S118" s="107"/>
      <c r="T118" s="102"/>
      <c r="U118" s="102"/>
      <c r="V118" s="102"/>
      <c r="W118" s="102"/>
      <c r="X118" s="102"/>
      <c r="Y118" s="102"/>
      <c r="Z118" s="102"/>
      <c r="AA118" s="102"/>
      <c r="AB118" s="105"/>
      <c r="AC118" s="105"/>
      <c r="AD118" s="108"/>
      <c r="AE118" s="102"/>
      <c r="AF118" s="109"/>
      <c r="AG118" s="107"/>
      <c r="AH118" s="111"/>
      <c r="AI118" s="111"/>
      <c r="AJ118" s="131" t="str">
        <f t="shared" ca="1" si="7"/>
        <v/>
      </c>
      <c r="AK118" s="102"/>
      <c r="AL118" s="102"/>
      <c r="AM118" s="105"/>
      <c r="AN118" s="105"/>
      <c r="AO118" s="105"/>
      <c r="AP118" s="109"/>
      <c r="AQ118" s="112"/>
      <c r="AR118" s="102"/>
      <c r="AS118" s="102"/>
      <c r="AT118" s="113"/>
      <c r="AU118" s="108"/>
      <c r="AV118" s="107"/>
      <c r="AW118" s="109"/>
      <c r="AX118" s="115">
        <f t="shared" si="2"/>
        <v>1900</v>
      </c>
      <c r="AY118" s="115">
        <f t="shared" si="3"/>
        <v>1900</v>
      </c>
    </row>
    <row r="119" spans="1:51" ht="22.5" customHeight="1">
      <c r="A119" s="102"/>
      <c r="B119" s="102"/>
      <c r="C119" s="102"/>
      <c r="D119" s="102"/>
      <c r="E119" s="102"/>
      <c r="F119" s="102"/>
      <c r="G119" s="102"/>
      <c r="H119" s="102"/>
      <c r="I119" s="102"/>
      <c r="J119" s="102"/>
      <c r="K119" s="104"/>
      <c r="L119" s="63" t="str">
        <f t="shared" ca="1" si="0"/>
        <v/>
      </c>
      <c r="M119" s="104"/>
      <c r="N119" s="105"/>
      <c r="O119" s="104"/>
      <c r="P119" s="102"/>
      <c r="Q119" s="102"/>
      <c r="R119" s="106"/>
      <c r="S119" s="107"/>
      <c r="T119" s="102"/>
      <c r="U119" s="102"/>
      <c r="V119" s="102"/>
      <c r="W119" s="102"/>
      <c r="X119" s="102"/>
      <c r="Y119" s="102"/>
      <c r="Z119" s="102"/>
      <c r="AA119" s="102"/>
      <c r="AB119" s="105"/>
      <c r="AC119" s="117"/>
      <c r="AD119" s="108"/>
      <c r="AE119" s="102"/>
      <c r="AF119" s="109"/>
      <c r="AG119" s="107"/>
      <c r="AH119" s="111"/>
      <c r="AI119" s="111"/>
      <c r="AJ119" s="131" t="str">
        <f t="shared" ca="1" si="7"/>
        <v/>
      </c>
      <c r="AK119" s="102"/>
      <c r="AL119" s="102"/>
      <c r="AM119" s="105"/>
      <c r="AN119" s="105"/>
      <c r="AO119" s="105"/>
      <c r="AP119" s="109"/>
      <c r="AQ119" s="112"/>
      <c r="AR119" s="102"/>
      <c r="AS119" s="102"/>
      <c r="AT119" s="113"/>
      <c r="AU119" s="108"/>
      <c r="AV119" s="107"/>
      <c r="AW119" s="109"/>
      <c r="AX119" s="115">
        <f t="shared" si="2"/>
        <v>1900</v>
      </c>
      <c r="AY119" s="115">
        <f t="shared" si="3"/>
        <v>1900</v>
      </c>
    </row>
    <row r="120" spans="1:51" ht="22.5" customHeight="1">
      <c r="A120" s="102"/>
      <c r="B120" s="102"/>
      <c r="C120" s="102"/>
      <c r="D120" s="102"/>
      <c r="E120" s="102"/>
      <c r="F120" s="102"/>
      <c r="G120" s="102"/>
      <c r="H120" s="102"/>
      <c r="I120" s="102"/>
      <c r="J120" s="102"/>
      <c r="K120" s="104"/>
      <c r="L120" s="63" t="str">
        <f t="shared" ca="1" si="0"/>
        <v/>
      </c>
      <c r="M120" s="104"/>
      <c r="N120" s="105"/>
      <c r="O120" s="104"/>
      <c r="P120" s="102"/>
      <c r="Q120" s="102"/>
      <c r="R120" s="106"/>
      <c r="S120" s="107"/>
      <c r="T120" s="102"/>
      <c r="U120" s="102"/>
      <c r="V120" s="102"/>
      <c r="W120" s="102"/>
      <c r="X120" s="102"/>
      <c r="Y120" s="102"/>
      <c r="Z120" s="102"/>
      <c r="AA120" s="102"/>
      <c r="AB120" s="105"/>
      <c r="AC120" s="117"/>
      <c r="AD120" s="108"/>
      <c r="AE120" s="102"/>
      <c r="AF120" s="109"/>
      <c r="AG120" s="107"/>
      <c r="AH120" s="111"/>
      <c r="AI120" s="111"/>
      <c r="AJ120" s="131" t="str">
        <f t="shared" ca="1" si="7"/>
        <v/>
      </c>
      <c r="AK120" s="102"/>
      <c r="AL120" s="102"/>
      <c r="AM120" s="105"/>
      <c r="AN120" s="105"/>
      <c r="AO120" s="105"/>
      <c r="AP120" s="109"/>
      <c r="AQ120" s="112"/>
      <c r="AR120" s="102"/>
      <c r="AS120" s="102"/>
      <c r="AT120" s="113"/>
      <c r="AU120" s="108"/>
      <c r="AV120" s="107"/>
      <c r="AW120" s="109"/>
      <c r="AX120" s="115">
        <f t="shared" si="2"/>
        <v>1900</v>
      </c>
      <c r="AY120" s="115">
        <f t="shared" si="3"/>
        <v>1900</v>
      </c>
    </row>
    <row r="121" spans="1:51" ht="22.5" customHeight="1">
      <c r="A121" s="102"/>
      <c r="B121" s="102"/>
      <c r="C121" s="102"/>
      <c r="D121" s="102"/>
      <c r="E121" s="102"/>
      <c r="F121" s="102"/>
      <c r="G121" s="102"/>
      <c r="H121" s="102"/>
      <c r="I121" s="102"/>
      <c r="J121" s="102"/>
      <c r="K121" s="104"/>
      <c r="L121" s="63" t="str">
        <f t="shared" ca="1" si="0"/>
        <v/>
      </c>
      <c r="M121" s="104"/>
      <c r="N121" s="105"/>
      <c r="O121" s="104"/>
      <c r="P121" s="102"/>
      <c r="Q121" s="102"/>
      <c r="R121" s="106"/>
      <c r="S121" s="107"/>
      <c r="T121" s="102"/>
      <c r="U121" s="102"/>
      <c r="V121" s="102"/>
      <c r="W121" s="102"/>
      <c r="X121" s="102"/>
      <c r="Y121" s="102"/>
      <c r="Z121" s="102"/>
      <c r="AA121" s="102"/>
      <c r="AB121" s="105"/>
      <c r="AC121" s="117"/>
      <c r="AD121" s="107"/>
      <c r="AE121" s="102"/>
      <c r="AF121" s="109"/>
      <c r="AG121" s="107"/>
      <c r="AH121" s="111"/>
      <c r="AI121" s="111"/>
      <c r="AJ121" s="131" t="str">
        <f t="shared" ca="1" si="7"/>
        <v/>
      </c>
      <c r="AK121" s="102"/>
      <c r="AL121" s="102"/>
      <c r="AM121" s="105"/>
      <c r="AN121" s="105"/>
      <c r="AO121" s="105"/>
      <c r="AP121" s="109"/>
      <c r="AQ121" s="112"/>
      <c r="AR121" s="102"/>
      <c r="AS121" s="102"/>
      <c r="AT121" s="113"/>
      <c r="AU121" s="108"/>
      <c r="AV121" s="107"/>
      <c r="AW121" s="109"/>
      <c r="AX121" s="115">
        <f t="shared" si="2"/>
        <v>1900</v>
      </c>
      <c r="AY121" s="115">
        <f t="shared" si="3"/>
        <v>1900</v>
      </c>
    </row>
    <row r="122" spans="1:51" ht="22.5" customHeight="1">
      <c r="A122" s="102"/>
      <c r="B122" s="102"/>
      <c r="C122" s="102"/>
      <c r="D122" s="102"/>
      <c r="E122" s="102"/>
      <c r="F122" s="102"/>
      <c r="G122" s="102"/>
      <c r="H122" s="102"/>
      <c r="I122" s="102"/>
      <c r="J122" s="102"/>
      <c r="K122" s="104"/>
      <c r="L122" s="63" t="str">
        <f t="shared" ca="1" si="0"/>
        <v/>
      </c>
      <c r="M122" s="104"/>
      <c r="N122" s="105"/>
      <c r="O122" s="104"/>
      <c r="P122" s="102"/>
      <c r="Q122" s="102"/>
      <c r="R122" s="106"/>
      <c r="S122" s="107"/>
      <c r="T122" s="102"/>
      <c r="U122" s="102"/>
      <c r="V122" s="102"/>
      <c r="W122" s="102"/>
      <c r="X122" s="102"/>
      <c r="Y122" s="102"/>
      <c r="Z122" s="102"/>
      <c r="AA122" s="102"/>
      <c r="AB122" s="105"/>
      <c r="AC122" s="117"/>
      <c r="AD122" s="107"/>
      <c r="AE122" s="102"/>
      <c r="AF122" s="109"/>
      <c r="AG122" s="107"/>
      <c r="AH122" s="111"/>
      <c r="AI122" s="111"/>
      <c r="AJ122" s="131" t="str">
        <f t="shared" ca="1" si="7"/>
        <v/>
      </c>
      <c r="AK122" s="102"/>
      <c r="AL122" s="102"/>
      <c r="AM122" s="105"/>
      <c r="AN122" s="105"/>
      <c r="AO122" s="105"/>
      <c r="AP122" s="109"/>
      <c r="AQ122" s="112"/>
      <c r="AR122" s="102"/>
      <c r="AS122" s="102"/>
      <c r="AT122" s="113"/>
      <c r="AU122" s="114"/>
      <c r="AV122" s="111"/>
      <c r="AW122" s="109"/>
      <c r="AX122" s="115">
        <f t="shared" si="2"/>
        <v>1900</v>
      </c>
      <c r="AY122" s="115">
        <f t="shared" si="3"/>
        <v>1900</v>
      </c>
    </row>
    <row r="123" spans="1:51" ht="22.5" customHeight="1">
      <c r="A123" s="102"/>
      <c r="B123" s="102"/>
      <c r="C123" s="102"/>
      <c r="D123" s="102"/>
      <c r="E123" s="102"/>
      <c r="F123" s="102"/>
      <c r="G123" s="102"/>
      <c r="H123" s="102"/>
      <c r="I123" s="102"/>
      <c r="J123" s="102"/>
      <c r="K123" s="104"/>
      <c r="L123" s="63" t="str">
        <f t="shared" ca="1" si="0"/>
        <v/>
      </c>
      <c r="M123" s="104"/>
      <c r="N123" s="105"/>
      <c r="O123" s="104"/>
      <c r="P123" s="102"/>
      <c r="Q123" s="102"/>
      <c r="R123" s="106"/>
      <c r="S123" s="107"/>
      <c r="T123" s="102"/>
      <c r="U123" s="102"/>
      <c r="V123" s="102"/>
      <c r="W123" s="102"/>
      <c r="X123" s="102"/>
      <c r="Y123" s="102"/>
      <c r="Z123" s="102"/>
      <c r="AA123" s="102"/>
      <c r="AB123" s="105"/>
      <c r="AC123" s="117"/>
      <c r="AD123" s="108"/>
      <c r="AE123" s="102"/>
      <c r="AF123" s="109"/>
      <c r="AG123" s="107"/>
      <c r="AH123" s="111"/>
      <c r="AI123" s="111"/>
      <c r="AJ123" s="131" t="str">
        <f t="shared" ca="1" si="7"/>
        <v/>
      </c>
      <c r="AK123" s="102"/>
      <c r="AL123" s="102"/>
      <c r="AM123" s="105"/>
      <c r="AN123" s="105"/>
      <c r="AO123" s="105"/>
      <c r="AP123" s="109"/>
      <c r="AQ123" s="112"/>
      <c r="AR123" s="102"/>
      <c r="AS123" s="102"/>
      <c r="AT123" s="113"/>
      <c r="AU123" s="108"/>
      <c r="AV123" s="107"/>
      <c r="AW123" s="109"/>
      <c r="AX123" s="115">
        <f t="shared" si="2"/>
        <v>1900</v>
      </c>
      <c r="AY123" s="115">
        <f t="shared" si="3"/>
        <v>1900</v>
      </c>
    </row>
    <row r="124" spans="1:51" ht="22.5" customHeight="1">
      <c r="A124" s="102"/>
      <c r="B124" s="102"/>
      <c r="C124" s="102"/>
      <c r="D124" s="102"/>
      <c r="E124" s="102"/>
      <c r="F124" s="102"/>
      <c r="G124" s="102"/>
      <c r="H124" s="102"/>
      <c r="I124" s="102"/>
      <c r="J124" s="102"/>
      <c r="K124" s="104"/>
      <c r="L124" s="63" t="str">
        <f t="shared" ca="1" si="0"/>
        <v/>
      </c>
      <c r="M124" s="104"/>
      <c r="N124" s="105"/>
      <c r="O124" s="104"/>
      <c r="P124" s="102"/>
      <c r="Q124" s="102"/>
      <c r="R124" s="106"/>
      <c r="S124" s="107"/>
      <c r="T124" s="102"/>
      <c r="U124" s="102"/>
      <c r="V124" s="102"/>
      <c r="W124" s="102"/>
      <c r="X124" s="102"/>
      <c r="Y124" s="102"/>
      <c r="Z124" s="102"/>
      <c r="AA124" s="102"/>
      <c r="AB124" s="105"/>
      <c r="AC124" s="117"/>
      <c r="AD124" s="108"/>
      <c r="AE124" s="102"/>
      <c r="AF124" s="109"/>
      <c r="AG124" s="107"/>
      <c r="AH124" s="111"/>
      <c r="AI124" s="111"/>
      <c r="AJ124" s="131" t="str">
        <f t="shared" ca="1" si="7"/>
        <v/>
      </c>
      <c r="AK124" s="102"/>
      <c r="AL124" s="102"/>
      <c r="AM124" s="105"/>
      <c r="AN124" s="105"/>
      <c r="AO124" s="105"/>
      <c r="AP124" s="109"/>
      <c r="AQ124" s="112"/>
      <c r="AR124" s="102"/>
      <c r="AS124" s="102"/>
      <c r="AT124" s="113"/>
      <c r="AU124" s="108"/>
      <c r="AV124" s="107"/>
      <c r="AW124" s="109"/>
      <c r="AX124" s="115">
        <f t="shared" si="2"/>
        <v>1900</v>
      </c>
      <c r="AY124" s="115">
        <f t="shared" si="3"/>
        <v>1900</v>
      </c>
    </row>
    <row r="125" spans="1:51" ht="22.5" customHeight="1">
      <c r="A125" s="102"/>
      <c r="B125" s="102"/>
      <c r="C125" s="102"/>
      <c r="D125" s="102"/>
      <c r="E125" s="102"/>
      <c r="F125" s="102"/>
      <c r="G125" s="102"/>
      <c r="H125" s="102"/>
      <c r="I125" s="102"/>
      <c r="J125" s="102"/>
      <c r="K125" s="104"/>
      <c r="L125" s="63" t="str">
        <f t="shared" ca="1" si="0"/>
        <v/>
      </c>
      <c r="M125" s="104"/>
      <c r="N125" s="105"/>
      <c r="O125" s="104"/>
      <c r="P125" s="102"/>
      <c r="Q125" s="102"/>
      <c r="R125" s="106"/>
      <c r="S125" s="107"/>
      <c r="T125" s="102"/>
      <c r="U125" s="102"/>
      <c r="V125" s="102"/>
      <c r="W125" s="102"/>
      <c r="X125" s="102"/>
      <c r="Y125" s="102"/>
      <c r="Z125" s="102"/>
      <c r="AA125" s="102"/>
      <c r="AB125" s="105"/>
      <c r="AC125" s="117"/>
      <c r="AD125" s="108"/>
      <c r="AE125" s="102"/>
      <c r="AF125" s="109"/>
      <c r="AG125" s="107"/>
      <c r="AH125" s="111"/>
      <c r="AI125" s="111"/>
      <c r="AJ125" s="131" t="str">
        <f t="shared" ca="1" si="7"/>
        <v/>
      </c>
      <c r="AK125" s="102"/>
      <c r="AL125" s="102"/>
      <c r="AM125" s="105"/>
      <c r="AN125" s="105"/>
      <c r="AO125" s="105"/>
      <c r="AP125" s="109"/>
      <c r="AQ125" s="112"/>
      <c r="AR125" s="102"/>
      <c r="AS125" s="102"/>
      <c r="AT125" s="113"/>
      <c r="AU125" s="108"/>
      <c r="AV125" s="107"/>
      <c r="AW125" s="109"/>
      <c r="AX125" s="115">
        <f t="shared" si="2"/>
        <v>1900</v>
      </c>
      <c r="AY125" s="115">
        <f t="shared" si="3"/>
        <v>1900</v>
      </c>
    </row>
    <row r="126" spans="1:51" ht="22.5" customHeight="1">
      <c r="A126" s="102"/>
      <c r="B126" s="102"/>
      <c r="C126" s="102"/>
      <c r="D126" s="102"/>
      <c r="E126" s="102"/>
      <c r="F126" s="102"/>
      <c r="G126" s="102"/>
      <c r="H126" s="102"/>
      <c r="I126" s="102"/>
      <c r="J126" s="102"/>
      <c r="K126" s="104"/>
      <c r="L126" s="63" t="str">
        <f t="shared" ca="1" si="0"/>
        <v/>
      </c>
      <c r="M126" s="104"/>
      <c r="N126" s="105"/>
      <c r="O126" s="104"/>
      <c r="P126" s="102"/>
      <c r="Q126" s="102"/>
      <c r="R126" s="106"/>
      <c r="S126" s="107"/>
      <c r="T126" s="102"/>
      <c r="U126" s="102"/>
      <c r="V126" s="102"/>
      <c r="W126" s="102"/>
      <c r="X126" s="102"/>
      <c r="Y126" s="102"/>
      <c r="Z126" s="102"/>
      <c r="AA126" s="102"/>
      <c r="AB126" s="105"/>
      <c r="AC126" s="117"/>
      <c r="AD126" s="107"/>
      <c r="AE126" s="102"/>
      <c r="AF126" s="109"/>
      <c r="AG126" s="107"/>
      <c r="AH126" s="111"/>
      <c r="AI126" s="111"/>
      <c r="AJ126" s="131" t="str">
        <f t="shared" ca="1" si="7"/>
        <v/>
      </c>
      <c r="AK126" s="102"/>
      <c r="AL126" s="102"/>
      <c r="AM126" s="105"/>
      <c r="AN126" s="105"/>
      <c r="AO126" s="105"/>
      <c r="AP126" s="109"/>
      <c r="AQ126" s="112"/>
      <c r="AR126" s="102"/>
      <c r="AS126" s="102"/>
      <c r="AT126" s="113"/>
      <c r="AU126" s="108"/>
      <c r="AV126" s="107"/>
      <c r="AW126" s="109"/>
      <c r="AX126" s="115">
        <f t="shared" si="2"/>
        <v>1900</v>
      </c>
      <c r="AY126" s="115">
        <f t="shared" si="3"/>
        <v>1900</v>
      </c>
    </row>
    <row r="127" spans="1:51" ht="22.5" customHeight="1">
      <c r="A127" s="102"/>
      <c r="B127" s="102"/>
      <c r="C127" s="102"/>
      <c r="D127" s="102"/>
      <c r="E127" s="102"/>
      <c r="F127" s="102"/>
      <c r="G127" s="102"/>
      <c r="H127" s="102"/>
      <c r="I127" s="102"/>
      <c r="J127" s="102"/>
      <c r="K127" s="104"/>
      <c r="L127" s="63" t="str">
        <f t="shared" ca="1" si="0"/>
        <v/>
      </c>
      <c r="M127" s="104"/>
      <c r="N127" s="105"/>
      <c r="O127" s="104"/>
      <c r="P127" s="102"/>
      <c r="Q127" s="102"/>
      <c r="R127" s="106"/>
      <c r="S127" s="107"/>
      <c r="T127" s="102"/>
      <c r="U127" s="102"/>
      <c r="V127" s="102"/>
      <c r="W127" s="102"/>
      <c r="X127" s="102"/>
      <c r="Y127" s="102"/>
      <c r="Z127" s="102"/>
      <c r="AA127" s="102"/>
      <c r="AB127" s="105"/>
      <c r="AC127" s="117"/>
      <c r="AD127" s="107"/>
      <c r="AE127" s="102"/>
      <c r="AF127" s="109"/>
      <c r="AG127" s="107"/>
      <c r="AH127" s="111"/>
      <c r="AI127" s="111"/>
      <c r="AJ127" s="131" t="str">
        <f t="shared" ca="1" si="7"/>
        <v/>
      </c>
      <c r="AK127" s="102"/>
      <c r="AL127" s="102"/>
      <c r="AM127" s="105"/>
      <c r="AN127" s="105"/>
      <c r="AO127" s="105"/>
      <c r="AP127" s="109"/>
      <c r="AQ127" s="112"/>
      <c r="AR127" s="102"/>
      <c r="AS127" s="102"/>
      <c r="AT127" s="113"/>
      <c r="AU127" s="114"/>
      <c r="AV127" s="111"/>
      <c r="AW127" s="109"/>
      <c r="AX127" s="115">
        <f t="shared" si="2"/>
        <v>1900</v>
      </c>
      <c r="AY127" s="115">
        <f t="shared" si="3"/>
        <v>1900</v>
      </c>
    </row>
    <row r="128" spans="1:51" ht="22.5" customHeight="1">
      <c r="A128" s="102"/>
      <c r="B128" s="102"/>
      <c r="C128" s="102"/>
      <c r="D128" s="102"/>
      <c r="E128" s="102"/>
      <c r="F128" s="102"/>
      <c r="G128" s="102"/>
      <c r="H128" s="102"/>
      <c r="I128" s="102"/>
      <c r="J128" s="102"/>
      <c r="K128" s="104"/>
      <c r="L128" s="63" t="str">
        <f t="shared" ca="1" si="0"/>
        <v/>
      </c>
      <c r="M128" s="104"/>
      <c r="N128" s="105"/>
      <c r="O128" s="104"/>
      <c r="P128" s="102"/>
      <c r="Q128" s="102"/>
      <c r="R128" s="106"/>
      <c r="S128" s="107"/>
      <c r="T128" s="102"/>
      <c r="U128" s="102"/>
      <c r="V128" s="102"/>
      <c r="W128" s="102"/>
      <c r="X128" s="102"/>
      <c r="Y128" s="102"/>
      <c r="Z128" s="102"/>
      <c r="AA128" s="102"/>
      <c r="AB128" s="105"/>
      <c r="AC128" s="117"/>
      <c r="AD128" s="107"/>
      <c r="AE128" s="102"/>
      <c r="AF128" s="109"/>
      <c r="AG128" s="107"/>
      <c r="AH128" s="111"/>
      <c r="AI128" s="111"/>
      <c r="AJ128" s="131" t="str">
        <f t="shared" ca="1" si="7"/>
        <v/>
      </c>
      <c r="AK128" s="102"/>
      <c r="AL128" s="102"/>
      <c r="AM128" s="105"/>
      <c r="AN128" s="105"/>
      <c r="AO128" s="105"/>
      <c r="AP128" s="109"/>
      <c r="AQ128" s="112"/>
      <c r="AR128" s="102"/>
      <c r="AS128" s="102"/>
      <c r="AT128" s="113"/>
      <c r="AU128" s="108"/>
      <c r="AV128" s="107"/>
      <c r="AW128" s="109"/>
      <c r="AX128" s="115">
        <f t="shared" si="2"/>
        <v>1900</v>
      </c>
      <c r="AY128" s="115">
        <f t="shared" si="3"/>
        <v>1900</v>
      </c>
    </row>
    <row r="129" spans="1:51" ht="22.5" customHeight="1">
      <c r="A129" s="102"/>
      <c r="B129" s="102"/>
      <c r="C129" s="102"/>
      <c r="D129" s="102"/>
      <c r="E129" s="102"/>
      <c r="F129" s="102"/>
      <c r="G129" s="102"/>
      <c r="H129" s="102"/>
      <c r="I129" s="102"/>
      <c r="J129" s="102"/>
      <c r="K129" s="104"/>
      <c r="L129" s="63" t="str">
        <f t="shared" ca="1" si="0"/>
        <v/>
      </c>
      <c r="M129" s="104"/>
      <c r="N129" s="105"/>
      <c r="O129" s="104"/>
      <c r="P129" s="102"/>
      <c r="Q129" s="102"/>
      <c r="R129" s="106"/>
      <c r="S129" s="107"/>
      <c r="T129" s="102"/>
      <c r="U129" s="102"/>
      <c r="V129" s="102"/>
      <c r="W129" s="102"/>
      <c r="X129" s="102"/>
      <c r="Y129" s="102"/>
      <c r="Z129" s="102"/>
      <c r="AA129" s="102"/>
      <c r="AB129" s="105"/>
      <c r="AC129" s="117"/>
      <c r="AD129" s="107"/>
      <c r="AE129" s="102"/>
      <c r="AF129" s="109"/>
      <c r="AG129" s="107"/>
      <c r="AH129" s="111"/>
      <c r="AI129" s="111"/>
      <c r="AJ129" s="131" t="str">
        <f t="shared" ca="1" si="7"/>
        <v/>
      </c>
      <c r="AK129" s="102"/>
      <c r="AL129" s="102"/>
      <c r="AM129" s="105"/>
      <c r="AN129" s="105"/>
      <c r="AO129" s="105"/>
      <c r="AP129" s="109"/>
      <c r="AQ129" s="112"/>
      <c r="AR129" s="102"/>
      <c r="AS129" s="102"/>
      <c r="AT129" s="113"/>
      <c r="AU129" s="108"/>
      <c r="AV129" s="107"/>
      <c r="AW129" s="109"/>
      <c r="AX129" s="115">
        <f t="shared" si="2"/>
        <v>1900</v>
      </c>
      <c r="AY129" s="115">
        <f t="shared" si="3"/>
        <v>1900</v>
      </c>
    </row>
    <row r="130" spans="1:51" ht="22.5" customHeight="1">
      <c r="A130" s="102"/>
      <c r="B130" s="102"/>
      <c r="C130" s="102"/>
      <c r="D130" s="102"/>
      <c r="E130" s="102"/>
      <c r="F130" s="102"/>
      <c r="G130" s="102"/>
      <c r="H130" s="102"/>
      <c r="I130" s="102"/>
      <c r="J130" s="102"/>
      <c r="K130" s="104"/>
      <c r="L130" s="63" t="str">
        <f t="shared" ca="1" si="0"/>
        <v/>
      </c>
      <c r="M130" s="104"/>
      <c r="N130" s="105"/>
      <c r="O130" s="104"/>
      <c r="P130" s="102"/>
      <c r="Q130" s="102"/>
      <c r="R130" s="106"/>
      <c r="S130" s="107"/>
      <c r="T130" s="102"/>
      <c r="U130" s="102"/>
      <c r="V130" s="102"/>
      <c r="W130" s="102"/>
      <c r="X130" s="102"/>
      <c r="Y130" s="102"/>
      <c r="Z130" s="102"/>
      <c r="AA130" s="102"/>
      <c r="AB130" s="105"/>
      <c r="AC130" s="105"/>
      <c r="AD130" s="108"/>
      <c r="AE130" s="102"/>
      <c r="AF130" s="109"/>
      <c r="AG130" s="107"/>
      <c r="AH130" s="111"/>
      <c r="AI130" s="111"/>
      <c r="AJ130" s="131" t="str">
        <f t="shared" ca="1" si="7"/>
        <v/>
      </c>
      <c r="AK130" s="102"/>
      <c r="AL130" s="102"/>
      <c r="AM130" s="105"/>
      <c r="AN130" s="105"/>
      <c r="AO130" s="105"/>
      <c r="AP130" s="109"/>
      <c r="AQ130" s="112"/>
      <c r="AR130" s="102"/>
      <c r="AS130" s="102"/>
      <c r="AT130" s="113"/>
      <c r="AU130" s="108"/>
      <c r="AV130" s="107"/>
      <c r="AW130" s="109"/>
      <c r="AX130" s="115">
        <f t="shared" si="2"/>
        <v>1900</v>
      </c>
      <c r="AY130" s="115">
        <f t="shared" si="3"/>
        <v>1900</v>
      </c>
    </row>
    <row r="131" spans="1:51" ht="22.5" customHeight="1">
      <c r="A131" s="102"/>
      <c r="B131" s="102"/>
      <c r="C131" s="102"/>
      <c r="D131" s="102"/>
      <c r="E131" s="102"/>
      <c r="F131" s="102"/>
      <c r="G131" s="102"/>
      <c r="H131" s="102"/>
      <c r="I131" s="102"/>
      <c r="J131" s="102"/>
      <c r="K131" s="104"/>
      <c r="L131" s="63" t="str">
        <f t="shared" ca="1" si="0"/>
        <v/>
      </c>
      <c r="M131" s="104"/>
      <c r="N131" s="105"/>
      <c r="O131" s="104"/>
      <c r="P131" s="102"/>
      <c r="Q131" s="102"/>
      <c r="R131" s="106"/>
      <c r="S131" s="107"/>
      <c r="T131" s="102"/>
      <c r="U131" s="102"/>
      <c r="V131" s="102"/>
      <c r="W131" s="102"/>
      <c r="X131" s="102"/>
      <c r="Y131" s="102"/>
      <c r="Z131" s="102"/>
      <c r="AA131" s="102"/>
      <c r="AB131" s="105"/>
      <c r="AC131" s="105"/>
      <c r="AD131" s="108"/>
      <c r="AE131" s="102"/>
      <c r="AF131" s="109"/>
      <c r="AG131" s="107"/>
      <c r="AH131" s="111"/>
      <c r="AI131" s="111"/>
      <c r="AJ131" s="131" t="str">
        <f t="shared" ca="1" si="7"/>
        <v/>
      </c>
      <c r="AK131" s="102"/>
      <c r="AL131" s="102"/>
      <c r="AM131" s="105"/>
      <c r="AN131" s="105"/>
      <c r="AO131" s="105"/>
      <c r="AP131" s="109"/>
      <c r="AQ131" s="112"/>
      <c r="AR131" s="102"/>
      <c r="AS131" s="102"/>
      <c r="AT131" s="113"/>
      <c r="AU131" s="108"/>
      <c r="AV131" s="107"/>
      <c r="AW131" s="109"/>
      <c r="AX131" s="115">
        <f t="shared" si="2"/>
        <v>1900</v>
      </c>
      <c r="AY131" s="115">
        <f t="shared" si="3"/>
        <v>1900</v>
      </c>
    </row>
    <row r="132" spans="1:51" ht="22.5" customHeight="1">
      <c r="A132" s="102"/>
      <c r="B132" s="102"/>
      <c r="C132" s="102"/>
      <c r="D132" s="102"/>
      <c r="E132" s="102"/>
      <c r="F132" s="102"/>
      <c r="G132" s="102"/>
      <c r="H132" s="102"/>
      <c r="I132" s="102"/>
      <c r="J132" s="102"/>
      <c r="K132" s="104"/>
      <c r="L132" s="63" t="str">
        <f t="shared" ca="1" si="0"/>
        <v/>
      </c>
      <c r="M132" s="104"/>
      <c r="N132" s="105"/>
      <c r="O132" s="104"/>
      <c r="P132" s="102"/>
      <c r="Q132" s="102"/>
      <c r="R132" s="106"/>
      <c r="S132" s="107"/>
      <c r="T132" s="102"/>
      <c r="U132" s="102"/>
      <c r="V132" s="102"/>
      <c r="W132" s="102"/>
      <c r="X132" s="102"/>
      <c r="Y132" s="102"/>
      <c r="Z132" s="102"/>
      <c r="AA132" s="102"/>
      <c r="AB132" s="105"/>
      <c r="AC132" s="105"/>
      <c r="AD132" s="108"/>
      <c r="AE132" s="102"/>
      <c r="AF132" s="109"/>
      <c r="AG132" s="107"/>
      <c r="AH132" s="111"/>
      <c r="AI132" s="111"/>
      <c r="AJ132" s="131" t="str">
        <f t="shared" ca="1" si="7"/>
        <v/>
      </c>
      <c r="AK132" s="102"/>
      <c r="AL132" s="102"/>
      <c r="AM132" s="105"/>
      <c r="AN132" s="105"/>
      <c r="AO132" s="105"/>
      <c r="AP132" s="109"/>
      <c r="AQ132" s="112"/>
      <c r="AR132" s="102"/>
      <c r="AS132" s="102"/>
      <c r="AT132" s="113"/>
      <c r="AU132" s="108"/>
      <c r="AV132" s="107"/>
      <c r="AW132" s="109"/>
      <c r="AX132" s="115">
        <f t="shared" si="2"/>
        <v>1900</v>
      </c>
      <c r="AY132" s="115">
        <f t="shared" si="3"/>
        <v>1900</v>
      </c>
    </row>
    <row r="133" spans="1:51" ht="22.5" customHeight="1">
      <c r="A133" s="102"/>
      <c r="B133" s="102"/>
      <c r="C133" s="102"/>
      <c r="D133" s="102"/>
      <c r="E133" s="102"/>
      <c r="F133" s="102"/>
      <c r="G133" s="102"/>
      <c r="H133" s="102"/>
      <c r="I133" s="102"/>
      <c r="J133" s="102"/>
      <c r="K133" s="104"/>
      <c r="L133" s="63" t="str">
        <f t="shared" ca="1" si="0"/>
        <v/>
      </c>
      <c r="M133" s="104"/>
      <c r="N133" s="105"/>
      <c r="O133" s="104"/>
      <c r="P133" s="102"/>
      <c r="Q133" s="102"/>
      <c r="R133" s="106"/>
      <c r="S133" s="107"/>
      <c r="T133" s="102"/>
      <c r="U133" s="102"/>
      <c r="V133" s="102"/>
      <c r="W133" s="102"/>
      <c r="X133" s="102"/>
      <c r="Y133" s="102"/>
      <c r="Z133" s="102"/>
      <c r="AA133" s="102"/>
      <c r="AB133" s="105"/>
      <c r="AC133" s="105"/>
      <c r="AD133" s="108"/>
      <c r="AE133" s="102"/>
      <c r="AF133" s="109"/>
      <c r="AG133" s="107"/>
      <c r="AH133" s="111"/>
      <c r="AI133" s="111"/>
      <c r="AJ133" s="131" t="str">
        <f t="shared" ca="1" si="7"/>
        <v/>
      </c>
      <c r="AK133" s="102"/>
      <c r="AL133" s="102"/>
      <c r="AM133" s="105"/>
      <c r="AN133" s="105"/>
      <c r="AO133" s="105"/>
      <c r="AP133" s="109"/>
      <c r="AQ133" s="112"/>
      <c r="AR133" s="102"/>
      <c r="AS133" s="102"/>
      <c r="AT133" s="113"/>
      <c r="AU133" s="108"/>
      <c r="AV133" s="107"/>
      <c r="AW133" s="109"/>
      <c r="AX133" s="115">
        <f t="shared" si="2"/>
        <v>1900</v>
      </c>
      <c r="AY133" s="115">
        <f t="shared" si="3"/>
        <v>1900</v>
      </c>
    </row>
    <row r="134" spans="1:51" ht="22.5" customHeight="1">
      <c r="A134" s="102"/>
      <c r="B134" s="102"/>
      <c r="C134" s="102"/>
      <c r="D134" s="102"/>
      <c r="E134" s="102"/>
      <c r="F134" s="102"/>
      <c r="G134" s="102"/>
      <c r="H134" s="102"/>
      <c r="I134" s="102"/>
      <c r="J134" s="102"/>
      <c r="K134" s="104"/>
      <c r="L134" s="63" t="str">
        <f t="shared" ca="1" si="0"/>
        <v/>
      </c>
      <c r="M134" s="104"/>
      <c r="N134" s="105"/>
      <c r="O134" s="104"/>
      <c r="P134" s="102"/>
      <c r="Q134" s="102"/>
      <c r="R134" s="106"/>
      <c r="S134" s="107"/>
      <c r="T134" s="102"/>
      <c r="U134" s="102"/>
      <c r="V134" s="102"/>
      <c r="W134" s="102"/>
      <c r="X134" s="102"/>
      <c r="Y134" s="102"/>
      <c r="Z134" s="102"/>
      <c r="AA134" s="102"/>
      <c r="AB134" s="105"/>
      <c r="AC134" s="105"/>
      <c r="AD134" s="108"/>
      <c r="AE134" s="102"/>
      <c r="AF134" s="109"/>
      <c r="AG134" s="107"/>
      <c r="AH134" s="111"/>
      <c r="AI134" s="111"/>
      <c r="AJ134" s="131" t="str">
        <f t="shared" ca="1" si="7"/>
        <v/>
      </c>
      <c r="AK134" s="102"/>
      <c r="AL134" s="102"/>
      <c r="AM134" s="105"/>
      <c r="AN134" s="105"/>
      <c r="AO134" s="105"/>
      <c r="AP134" s="109"/>
      <c r="AQ134" s="112"/>
      <c r="AR134" s="102"/>
      <c r="AS134" s="102"/>
      <c r="AT134" s="113"/>
      <c r="AU134" s="108"/>
      <c r="AV134" s="107"/>
      <c r="AW134" s="109"/>
      <c r="AX134" s="115">
        <f t="shared" si="2"/>
        <v>1900</v>
      </c>
      <c r="AY134" s="115">
        <f t="shared" si="3"/>
        <v>1900</v>
      </c>
    </row>
    <row r="135" spans="1:51" ht="22.5" customHeight="1">
      <c r="A135" s="102"/>
      <c r="B135" s="102"/>
      <c r="C135" s="102"/>
      <c r="D135" s="102"/>
      <c r="E135" s="102"/>
      <c r="F135" s="102"/>
      <c r="G135" s="102"/>
      <c r="H135" s="102"/>
      <c r="I135" s="102"/>
      <c r="J135" s="102"/>
      <c r="K135" s="104"/>
      <c r="L135" s="63" t="str">
        <f t="shared" ca="1" si="0"/>
        <v/>
      </c>
      <c r="M135" s="104"/>
      <c r="N135" s="105"/>
      <c r="O135" s="104"/>
      <c r="P135" s="102"/>
      <c r="Q135" s="102"/>
      <c r="R135" s="106"/>
      <c r="S135" s="107"/>
      <c r="T135" s="102"/>
      <c r="U135" s="102"/>
      <c r="V135" s="102"/>
      <c r="W135" s="102"/>
      <c r="X135" s="102"/>
      <c r="Y135" s="102"/>
      <c r="Z135" s="102"/>
      <c r="AA135" s="102"/>
      <c r="AB135" s="105"/>
      <c r="AC135" s="105"/>
      <c r="AD135" s="108"/>
      <c r="AE135" s="102"/>
      <c r="AF135" s="109"/>
      <c r="AG135" s="107"/>
      <c r="AH135" s="111"/>
      <c r="AI135" s="111"/>
      <c r="AJ135" s="131" t="str">
        <f t="shared" ca="1" si="7"/>
        <v/>
      </c>
      <c r="AK135" s="102"/>
      <c r="AL135" s="102"/>
      <c r="AM135" s="105"/>
      <c r="AN135" s="105"/>
      <c r="AO135" s="105"/>
      <c r="AP135" s="109"/>
      <c r="AQ135" s="112"/>
      <c r="AR135" s="102"/>
      <c r="AS135" s="102"/>
      <c r="AT135" s="113"/>
      <c r="AU135" s="108"/>
      <c r="AV135" s="107"/>
      <c r="AW135" s="109"/>
      <c r="AX135" s="115">
        <f t="shared" si="2"/>
        <v>1900</v>
      </c>
      <c r="AY135" s="115">
        <f t="shared" si="3"/>
        <v>1900</v>
      </c>
    </row>
    <row r="136" spans="1:51" ht="22.5" customHeight="1">
      <c r="A136" s="102"/>
      <c r="B136" s="102"/>
      <c r="C136" s="102"/>
      <c r="D136" s="102"/>
      <c r="E136" s="102"/>
      <c r="F136" s="102"/>
      <c r="G136" s="102"/>
      <c r="H136" s="102"/>
      <c r="I136" s="102"/>
      <c r="J136" s="102"/>
      <c r="K136" s="104"/>
      <c r="L136" s="63" t="str">
        <f t="shared" ca="1" si="0"/>
        <v/>
      </c>
      <c r="M136" s="104"/>
      <c r="N136" s="105"/>
      <c r="O136" s="104"/>
      <c r="P136" s="102"/>
      <c r="Q136" s="102"/>
      <c r="R136" s="106"/>
      <c r="S136" s="107"/>
      <c r="T136" s="102"/>
      <c r="U136" s="102"/>
      <c r="V136" s="102"/>
      <c r="W136" s="102"/>
      <c r="X136" s="102"/>
      <c r="Y136" s="102"/>
      <c r="Z136" s="102"/>
      <c r="AA136" s="102"/>
      <c r="AB136" s="105"/>
      <c r="AC136" s="105"/>
      <c r="AD136" s="108"/>
      <c r="AE136" s="102"/>
      <c r="AF136" s="109"/>
      <c r="AG136" s="107"/>
      <c r="AH136" s="111"/>
      <c r="AI136" s="111"/>
      <c r="AJ136" s="131" t="str">
        <f t="shared" ca="1" si="7"/>
        <v/>
      </c>
      <c r="AK136" s="102"/>
      <c r="AL136" s="102"/>
      <c r="AM136" s="105"/>
      <c r="AN136" s="105"/>
      <c r="AO136" s="105"/>
      <c r="AP136" s="109"/>
      <c r="AQ136" s="112"/>
      <c r="AR136" s="102"/>
      <c r="AS136" s="102"/>
      <c r="AT136" s="113"/>
      <c r="AU136" s="114"/>
      <c r="AV136" s="111"/>
      <c r="AW136" s="109"/>
      <c r="AX136" s="115">
        <f t="shared" si="2"/>
        <v>1900</v>
      </c>
      <c r="AY136" s="115">
        <f t="shared" si="3"/>
        <v>1900</v>
      </c>
    </row>
    <row r="137" spans="1:51" ht="22.5" customHeight="1">
      <c r="A137" s="102"/>
      <c r="B137" s="102"/>
      <c r="C137" s="102"/>
      <c r="D137" s="102"/>
      <c r="E137" s="102"/>
      <c r="F137" s="102"/>
      <c r="G137" s="102"/>
      <c r="H137" s="102"/>
      <c r="I137" s="102"/>
      <c r="J137" s="102"/>
      <c r="K137" s="104"/>
      <c r="L137" s="63" t="str">
        <f t="shared" ca="1" si="0"/>
        <v/>
      </c>
      <c r="M137" s="104"/>
      <c r="N137" s="105"/>
      <c r="O137" s="104"/>
      <c r="P137" s="102"/>
      <c r="Q137" s="102"/>
      <c r="R137" s="106"/>
      <c r="S137" s="107"/>
      <c r="T137" s="102"/>
      <c r="U137" s="102"/>
      <c r="V137" s="102"/>
      <c r="W137" s="102"/>
      <c r="X137" s="102"/>
      <c r="Y137" s="102"/>
      <c r="Z137" s="102"/>
      <c r="AA137" s="102"/>
      <c r="AB137" s="105"/>
      <c r="AC137" s="105"/>
      <c r="AD137" s="108"/>
      <c r="AE137" s="102"/>
      <c r="AF137" s="109"/>
      <c r="AG137" s="107"/>
      <c r="AH137" s="111"/>
      <c r="AI137" s="111"/>
      <c r="AJ137" s="131" t="str">
        <f t="shared" ca="1" si="7"/>
        <v/>
      </c>
      <c r="AK137" s="102"/>
      <c r="AL137" s="102"/>
      <c r="AM137" s="105"/>
      <c r="AN137" s="105"/>
      <c r="AO137" s="105"/>
      <c r="AP137" s="109"/>
      <c r="AQ137" s="112"/>
      <c r="AR137" s="102"/>
      <c r="AS137" s="102"/>
      <c r="AT137" s="113"/>
      <c r="AU137" s="108"/>
      <c r="AV137" s="107"/>
      <c r="AW137" s="109"/>
      <c r="AX137" s="115">
        <f t="shared" si="2"/>
        <v>1900</v>
      </c>
      <c r="AY137" s="115">
        <f t="shared" si="3"/>
        <v>1900</v>
      </c>
    </row>
    <row r="138" spans="1:51" ht="22.5" customHeight="1">
      <c r="A138" s="102"/>
      <c r="B138" s="102"/>
      <c r="C138" s="102"/>
      <c r="D138" s="102"/>
      <c r="E138" s="102"/>
      <c r="F138" s="102"/>
      <c r="G138" s="102"/>
      <c r="H138" s="102"/>
      <c r="I138" s="102"/>
      <c r="J138" s="102"/>
      <c r="K138" s="104"/>
      <c r="L138" s="63" t="str">
        <f t="shared" ca="1" si="0"/>
        <v/>
      </c>
      <c r="M138" s="104"/>
      <c r="N138" s="105"/>
      <c r="O138" s="104"/>
      <c r="P138" s="102"/>
      <c r="Q138" s="102"/>
      <c r="R138" s="106"/>
      <c r="S138" s="107"/>
      <c r="T138" s="102"/>
      <c r="U138" s="102"/>
      <c r="V138" s="102"/>
      <c r="W138" s="102"/>
      <c r="X138" s="102"/>
      <c r="Y138" s="102"/>
      <c r="Z138" s="102"/>
      <c r="AA138" s="102"/>
      <c r="AB138" s="105"/>
      <c r="AC138" s="105"/>
      <c r="AD138" s="108"/>
      <c r="AE138" s="102"/>
      <c r="AF138" s="109"/>
      <c r="AG138" s="107"/>
      <c r="AH138" s="111"/>
      <c r="AI138" s="111"/>
      <c r="AJ138" s="131" t="str">
        <f t="shared" ca="1" si="7"/>
        <v/>
      </c>
      <c r="AK138" s="102"/>
      <c r="AL138" s="102"/>
      <c r="AM138" s="105"/>
      <c r="AN138" s="105"/>
      <c r="AO138" s="105"/>
      <c r="AP138" s="109"/>
      <c r="AQ138" s="112"/>
      <c r="AR138" s="102"/>
      <c r="AS138" s="102"/>
      <c r="AT138" s="113"/>
      <c r="AU138" s="108"/>
      <c r="AV138" s="107"/>
      <c r="AW138" s="109"/>
      <c r="AX138" s="115">
        <f t="shared" si="2"/>
        <v>1900</v>
      </c>
      <c r="AY138" s="115">
        <f t="shared" si="3"/>
        <v>1900</v>
      </c>
    </row>
    <row r="139" spans="1:51" ht="22.5" customHeight="1">
      <c r="A139" s="102"/>
      <c r="B139" s="102"/>
      <c r="C139" s="102"/>
      <c r="D139" s="102"/>
      <c r="E139" s="102"/>
      <c r="F139" s="102"/>
      <c r="G139" s="102"/>
      <c r="H139" s="102"/>
      <c r="I139" s="102"/>
      <c r="J139" s="102"/>
      <c r="K139" s="104"/>
      <c r="L139" s="63" t="str">
        <f t="shared" ca="1" si="0"/>
        <v/>
      </c>
      <c r="M139" s="104"/>
      <c r="N139" s="105"/>
      <c r="O139" s="104"/>
      <c r="P139" s="102"/>
      <c r="Q139" s="102"/>
      <c r="R139" s="106"/>
      <c r="S139" s="107"/>
      <c r="T139" s="102"/>
      <c r="U139" s="102"/>
      <c r="V139" s="102"/>
      <c r="W139" s="102"/>
      <c r="X139" s="102"/>
      <c r="Y139" s="102"/>
      <c r="Z139" s="102"/>
      <c r="AA139" s="102"/>
      <c r="AB139" s="105"/>
      <c r="AC139" s="105"/>
      <c r="AD139" s="108"/>
      <c r="AE139" s="102"/>
      <c r="AF139" s="109"/>
      <c r="AG139" s="107"/>
      <c r="AH139" s="111"/>
      <c r="AI139" s="111"/>
      <c r="AJ139" s="131" t="str">
        <f t="shared" ca="1" si="7"/>
        <v/>
      </c>
      <c r="AK139" s="102"/>
      <c r="AL139" s="102"/>
      <c r="AM139" s="105"/>
      <c r="AN139" s="105"/>
      <c r="AO139" s="105"/>
      <c r="AP139" s="109"/>
      <c r="AQ139" s="112"/>
      <c r="AR139" s="102"/>
      <c r="AS139" s="102"/>
      <c r="AT139" s="113"/>
      <c r="AU139" s="108"/>
      <c r="AV139" s="107"/>
      <c r="AW139" s="109"/>
      <c r="AX139" s="115">
        <f t="shared" si="2"/>
        <v>1900</v>
      </c>
      <c r="AY139" s="115">
        <f t="shared" si="3"/>
        <v>1900</v>
      </c>
    </row>
    <row r="140" spans="1:51" ht="22.5" customHeight="1">
      <c r="A140" s="102"/>
      <c r="B140" s="102"/>
      <c r="C140" s="102"/>
      <c r="D140" s="102"/>
      <c r="E140" s="102"/>
      <c r="F140" s="102"/>
      <c r="G140" s="102"/>
      <c r="H140" s="102"/>
      <c r="I140" s="102"/>
      <c r="J140" s="102"/>
      <c r="K140" s="104"/>
      <c r="L140" s="63" t="str">
        <f t="shared" ca="1" si="0"/>
        <v/>
      </c>
      <c r="M140" s="104"/>
      <c r="N140" s="105"/>
      <c r="O140" s="104"/>
      <c r="P140" s="102"/>
      <c r="Q140" s="102"/>
      <c r="R140" s="106"/>
      <c r="S140" s="107"/>
      <c r="T140" s="102"/>
      <c r="U140" s="102"/>
      <c r="V140" s="102"/>
      <c r="W140" s="102"/>
      <c r="X140" s="102"/>
      <c r="Y140" s="102"/>
      <c r="Z140" s="102"/>
      <c r="AA140" s="102"/>
      <c r="AB140" s="105"/>
      <c r="AC140" s="105"/>
      <c r="AD140" s="108"/>
      <c r="AE140" s="102"/>
      <c r="AF140" s="109"/>
      <c r="AG140" s="107"/>
      <c r="AH140" s="111"/>
      <c r="AI140" s="111"/>
      <c r="AJ140" s="131" t="str">
        <f t="shared" ca="1" si="7"/>
        <v/>
      </c>
      <c r="AK140" s="102"/>
      <c r="AL140" s="102"/>
      <c r="AM140" s="105"/>
      <c r="AN140" s="105"/>
      <c r="AO140" s="105"/>
      <c r="AP140" s="109"/>
      <c r="AQ140" s="112"/>
      <c r="AR140" s="102"/>
      <c r="AS140" s="102"/>
      <c r="AT140" s="113"/>
      <c r="AU140" s="108"/>
      <c r="AV140" s="107"/>
      <c r="AW140" s="109"/>
      <c r="AX140" s="115">
        <f t="shared" si="2"/>
        <v>1900</v>
      </c>
      <c r="AY140" s="115">
        <f t="shared" si="3"/>
        <v>1900</v>
      </c>
    </row>
    <row r="141" spans="1:51" ht="22.5" customHeight="1">
      <c r="A141" s="102"/>
      <c r="B141" s="102"/>
      <c r="C141" s="102"/>
      <c r="D141" s="102"/>
      <c r="E141" s="102"/>
      <c r="F141" s="102"/>
      <c r="G141" s="102"/>
      <c r="H141" s="102"/>
      <c r="I141" s="102"/>
      <c r="J141" s="102"/>
      <c r="K141" s="104"/>
      <c r="L141" s="63" t="str">
        <f t="shared" ca="1" si="0"/>
        <v/>
      </c>
      <c r="M141" s="104"/>
      <c r="N141" s="105"/>
      <c r="O141" s="104"/>
      <c r="P141" s="102"/>
      <c r="Q141" s="102"/>
      <c r="R141" s="106"/>
      <c r="S141" s="107"/>
      <c r="T141" s="102"/>
      <c r="U141" s="102"/>
      <c r="V141" s="102"/>
      <c r="W141" s="102"/>
      <c r="X141" s="102"/>
      <c r="Y141" s="102"/>
      <c r="Z141" s="102"/>
      <c r="AA141" s="102"/>
      <c r="AB141" s="105"/>
      <c r="AC141" s="105"/>
      <c r="AD141" s="108"/>
      <c r="AE141" s="102"/>
      <c r="AF141" s="109"/>
      <c r="AG141" s="107"/>
      <c r="AH141" s="111"/>
      <c r="AI141" s="111"/>
      <c r="AJ141" s="131" t="str">
        <f t="shared" ca="1" si="7"/>
        <v/>
      </c>
      <c r="AK141" s="102"/>
      <c r="AL141" s="102"/>
      <c r="AM141" s="105"/>
      <c r="AN141" s="105"/>
      <c r="AO141" s="105"/>
      <c r="AP141" s="109"/>
      <c r="AQ141" s="112"/>
      <c r="AR141" s="102"/>
      <c r="AS141" s="102"/>
      <c r="AT141" s="113"/>
      <c r="AU141" s="108"/>
      <c r="AV141" s="107"/>
      <c r="AW141" s="109"/>
      <c r="AX141" s="115">
        <f t="shared" si="2"/>
        <v>1900</v>
      </c>
      <c r="AY141" s="115">
        <f t="shared" si="3"/>
        <v>1900</v>
      </c>
    </row>
    <row r="142" spans="1:51" ht="22.5" customHeight="1">
      <c r="A142" s="102"/>
      <c r="B142" s="102"/>
      <c r="C142" s="102"/>
      <c r="D142" s="102"/>
      <c r="E142" s="102"/>
      <c r="F142" s="102"/>
      <c r="G142" s="102"/>
      <c r="H142" s="102"/>
      <c r="I142" s="102"/>
      <c r="J142" s="102"/>
      <c r="K142" s="104"/>
      <c r="L142" s="63" t="str">
        <f t="shared" ca="1" si="0"/>
        <v/>
      </c>
      <c r="M142" s="104"/>
      <c r="N142" s="105"/>
      <c r="O142" s="104"/>
      <c r="P142" s="102"/>
      <c r="Q142" s="102"/>
      <c r="R142" s="106"/>
      <c r="S142" s="107"/>
      <c r="T142" s="102"/>
      <c r="U142" s="102"/>
      <c r="V142" s="102"/>
      <c r="W142" s="102"/>
      <c r="X142" s="102"/>
      <c r="Y142" s="102"/>
      <c r="Z142" s="102"/>
      <c r="AA142" s="102"/>
      <c r="AB142" s="105"/>
      <c r="AC142" s="105"/>
      <c r="AD142" s="108"/>
      <c r="AE142" s="102"/>
      <c r="AF142" s="109"/>
      <c r="AG142" s="107"/>
      <c r="AH142" s="111"/>
      <c r="AI142" s="111"/>
      <c r="AJ142" s="131" t="str">
        <f t="shared" ca="1" si="7"/>
        <v/>
      </c>
      <c r="AK142" s="102"/>
      <c r="AL142" s="102"/>
      <c r="AM142" s="105"/>
      <c r="AN142" s="105"/>
      <c r="AO142" s="105"/>
      <c r="AP142" s="109"/>
      <c r="AQ142" s="112"/>
      <c r="AR142" s="102"/>
      <c r="AS142" s="102"/>
      <c r="AT142" s="113"/>
      <c r="AU142" s="108"/>
      <c r="AV142" s="107"/>
      <c r="AW142" s="109"/>
      <c r="AX142" s="115">
        <f t="shared" si="2"/>
        <v>1900</v>
      </c>
      <c r="AY142" s="115">
        <f t="shared" si="3"/>
        <v>1900</v>
      </c>
    </row>
    <row r="143" spans="1:51" ht="22.5" customHeight="1">
      <c r="A143" s="102"/>
      <c r="B143" s="102"/>
      <c r="C143" s="102"/>
      <c r="D143" s="102"/>
      <c r="E143" s="102"/>
      <c r="F143" s="102"/>
      <c r="G143" s="102"/>
      <c r="H143" s="102"/>
      <c r="I143" s="102"/>
      <c r="J143" s="102"/>
      <c r="K143" s="104"/>
      <c r="L143" s="63" t="str">
        <f t="shared" ca="1" si="0"/>
        <v/>
      </c>
      <c r="M143" s="104"/>
      <c r="N143" s="105"/>
      <c r="O143" s="104"/>
      <c r="P143" s="102"/>
      <c r="Q143" s="102"/>
      <c r="R143" s="106"/>
      <c r="S143" s="107"/>
      <c r="T143" s="102"/>
      <c r="U143" s="102"/>
      <c r="V143" s="102"/>
      <c r="W143" s="102"/>
      <c r="X143" s="102"/>
      <c r="Y143" s="102"/>
      <c r="Z143" s="102"/>
      <c r="AA143" s="102"/>
      <c r="AB143" s="105"/>
      <c r="AC143" s="105"/>
      <c r="AD143" s="108"/>
      <c r="AE143" s="102"/>
      <c r="AF143" s="109"/>
      <c r="AG143" s="107"/>
      <c r="AH143" s="111"/>
      <c r="AI143" s="111"/>
      <c r="AJ143" s="131" t="str">
        <f t="shared" ca="1" si="7"/>
        <v/>
      </c>
      <c r="AK143" s="102"/>
      <c r="AL143" s="102"/>
      <c r="AM143" s="105"/>
      <c r="AN143" s="105"/>
      <c r="AO143" s="105"/>
      <c r="AP143" s="109"/>
      <c r="AQ143" s="112"/>
      <c r="AR143" s="102"/>
      <c r="AS143" s="102"/>
      <c r="AT143" s="113"/>
      <c r="AU143" s="108"/>
      <c r="AV143" s="107"/>
      <c r="AW143" s="109"/>
      <c r="AX143" s="115">
        <f t="shared" si="2"/>
        <v>1900</v>
      </c>
      <c r="AY143" s="115">
        <f t="shared" si="3"/>
        <v>1900</v>
      </c>
    </row>
    <row r="144" spans="1:51" ht="22.5" customHeight="1">
      <c r="A144" s="102"/>
      <c r="B144" s="102"/>
      <c r="C144" s="102"/>
      <c r="D144" s="102"/>
      <c r="E144" s="102"/>
      <c r="F144" s="102"/>
      <c r="G144" s="102"/>
      <c r="H144" s="102"/>
      <c r="I144" s="102"/>
      <c r="J144" s="102"/>
      <c r="K144" s="104"/>
      <c r="L144" s="63" t="str">
        <f t="shared" ca="1" si="0"/>
        <v/>
      </c>
      <c r="M144" s="104"/>
      <c r="N144" s="105"/>
      <c r="O144" s="104"/>
      <c r="P144" s="102"/>
      <c r="Q144" s="102"/>
      <c r="R144" s="106"/>
      <c r="S144" s="107"/>
      <c r="T144" s="102"/>
      <c r="U144" s="102"/>
      <c r="V144" s="102"/>
      <c r="W144" s="102"/>
      <c r="X144" s="102"/>
      <c r="Y144" s="102"/>
      <c r="Z144" s="102"/>
      <c r="AA144" s="102"/>
      <c r="AB144" s="105"/>
      <c r="AC144" s="105"/>
      <c r="AD144" s="108"/>
      <c r="AE144" s="102"/>
      <c r="AF144" s="109"/>
      <c r="AG144" s="107"/>
      <c r="AH144" s="111"/>
      <c r="AI144" s="111"/>
      <c r="AJ144" s="131" t="str">
        <f t="shared" ca="1" si="7"/>
        <v/>
      </c>
      <c r="AK144" s="102"/>
      <c r="AL144" s="102"/>
      <c r="AM144" s="105"/>
      <c r="AN144" s="105"/>
      <c r="AO144" s="105"/>
      <c r="AP144" s="109"/>
      <c r="AQ144" s="112"/>
      <c r="AR144" s="102"/>
      <c r="AS144" s="102"/>
      <c r="AT144" s="113"/>
      <c r="AU144" s="114"/>
      <c r="AV144" s="111"/>
      <c r="AW144" s="109"/>
      <c r="AX144" s="115">
        <f t="shared" si="2"/>
        <v>1900</v>
      </c>
      <c r="AY144" s="115">
        <f t="shared" si="3"/>
        <v>1900</v>
      </c>
    </row>
    <row r="145" spans="1:51" ht="22.5" customHeight="1">
      <c r="A145" s="102"/>
      <c r="B145" s="102"/>
      <c r="C145" s="102"/>
      <c r="D145" s="102"/>
      <c r="E145" s="102"/>
      <c r="F145" s="102"/>
      <c r="G145" s="102"/>
      <c r="H145" s="102"/>
      <c r="I145" s="102"/>
      <c r="J145" s="102"/>
      <c r="K145" s="104"/>
      <c r="L145" s="63" t="str">
        <f t="shared" ca="1" si="0"/>
        <v/>
      </c>
      <c r="M145" s="104"/>
      <c r="N145" s="105"/>
      <c r="O145" s="104"/>
      <c r="P145" s="102"/>
      <c r="Q145" s="102"/>
      <c r="R145" s="106"/>
      <c r="S145" s="107"/>
      <c r="T145" s="102"/>
      <c r="U145" s="102"/>
      <c r="V145" s="102"/>
      <c r="W145" s="102"/>
      <c r="X145" s="102"/>
      <c r="Y145" s="102"/>
      <c r="Z145" s="102"/>
      <c r="AA145" s="102"/>
      <c r="AB145" s="105"/>
      <c r="AC145" s="117"/>
      <c r="AD145" s="108"/>
      <c r="AE145" s="102"/>
      <c r="AF145" s="109"/>
      <c r="AG145" s="107"/>
      <c r="AH145" s="111"/>
      <c r="AI145" s="111"/>
      <c r="AJ145" s="131" t="str">
        <f t="shared" ca="1" si="7"/>
        <v/>
      </c>
      <c r="AK145" s="102"/>
      <c r="AL145" s="102"/>
      <c r="AM145" s="105"/>
      <c r="AN145" s="105"/>
      <c r="AO145" s="105"/>
      <c r="AP145" s="109"/>
      <c r="AQ145" s="112"/>
      <c r="AR145" s="102"/>
      <c r="AS145" s="102"/>
      <c r="AT145" s="113"/>
      <c r="AU145" s="114"/>
      <c r="AV145" s="111"/>
      <c r="AW145" s="109"/>
      <c r="AX145" s="115">
        <f t="shared" si="2"/>
        <v>1900</v>
      </c>
      <c r="AY145" s="115">
        <f t="shared" si="3"/>
        <v>1900</v>
      </c>
    </row>
    <row r="146" spans="1:51" ht="22.5" customHeight="1">
      <c r="A146" s="102"/>
      <c r="B146" s="102"/>
      <c r="C146" s="102"/>
      <c r="D146" s="102"/>
      <c r="E146" s="102"/>
      <c r="F146" s="102"/>
      <c r="G146" s="102"/>
      <c r="H146" s="102"/>
      <c r="I146" s="102"/>
      <c r="J146" s="102"/>
      <c r="K146" s="104"/>
      <c r="L146" s="63" t="str">
        <f t="shared" ca="1" si="0"/>
        <v/>
      </c>
      <c r="M146" s="104"/>
      <c r="N146" s="105"/>
      <c r="O146" s="104"/>
      <c r="P146" s="102"/>
      <c r="Q146" s="102"/>
      <c r="R146" s="106"/>
      <c r="S146" s="107"/>
      <c r="T146" s="102"/>
      <c r="U146" s="102"/>
      <c r="V146" s="102"/>
      <c r="W146" s="102"/>
      <c r="X146" s="102"/>
      <c r="Y146" s="102"/>
      <c r="Z146" s="102"/>
      <c r="AA146" s="102"/>
      <c r="AB146" s="105"/>
      <c r="AC146" s="117"/>
      <c r="AD146" s="107"/>
      <c r="AE146" s="102"/>
      <c r="AF146" s="109"/>
      <c r="AG146" s="107"/>
      <c r="AH146" s="111"/>
      <c r="AI146" s="111"/>
      <c r="AJ146" s="131" t="str">
        <f t="shared" ca="1" si="7"/>
        <v/>
      </c>
      <c r="AK146" s="102"/>
      <c r="AL146" s="102"/>
      <c r="AM146" s="105"/>
      <c r="AN146" s="105"/>
      <c r="AO146" s="105"/>
      <c r="AP146" s="109"/>
      <c r="AQ146" s="112"/>
      <c r="AR146" s="102"/>
      <c r="AS146" s="102"/>
      <c r="AT146" s="113"/>
      <c r="AU146" s="108"/>
      <c r="AV146" s="107"/>
      <c r="AW146" s="109"/>
      <c r="AX146" s="115">
        <f t="shared" si="2"/>
        <v>1900</v>
      </c>
      <c r="AY146" s="115">
        <f t="shared" si="3"/>
        <v>1900</v>
      </c>
    </row>
    <row r="147" spans="1:51" ht="22.5" customHeight="1">
      <c r="A147" s="102"/>
      <c r="B147" s="102"/>
      <c r="C147" s="102"/>
      <c r="D147" s="102"/>
      <c r="E147" s="102"/>
      <c r="F147" s="102"/>
      <c r="G147" s="102"/>
      <c r="H147" s="102"/>
      <c r="I147" s="102"/>
      <c r="J147" s="102"/>
      <c r="K147" s="104"/>
      <c r="L147" s="63" t="str">
        <f t="shared" ca="1" si="0"/>
        <v/>
      </c>
      <c r="M147" s="104"/>
      <c r="N147" s="105"/>
      <c r="O147" s="104"/>
      <c r="P147" s="102"/>
      <c r="Q147" s="102"/>
      <c r="R147" s="106"/>
      <c r="S147" s="107"/>
      <c r="T147" s="102"/>
      <c r="U147" s="102"/>
      <c r="V147" s="102"/>
      <c r="W147" s="102"/>
      <c r="X147" s="102"/>
      <c r="Y147" s="102"/>
      <c r="Z147" s="102"/>
      <c r="AA147" s="102"/>
      <c r="AB147" s="105"/>
      <c r="AC147" s="117"/>
      <c r="AD147" s="107"/>
      <c r="AE147" s="102"/>
      <c r="AF147" s="109"/>
      <c r="AG147" s="107"/>
      <c r="AH147" s="111"/>
      <c r="AI147" s="111"/>
      <c r="AJ147" s="131" t="str">
        <f t="shared" ca="1" si="7"/>
        <v/>
      </c>
      <c r="AK147" s="102"/>
      <c r="AL147" s="102"/>
      <c r="AM147" s="105"/>
      <c r="AN147" s="105"/>
      <c r="AO147" s="105"/>
      <c r="AP147" s="109"/>
      <c r="AQ147" s="112"/>
      <c r="AR147" s="102"/>
      <c r="AS147" s="102"/>
      <c r="AT147" s="113"/>
      <c r="AU147" s="108"/>
      <c r="AV147" s="107"/>
      <c r="AW147" s="109"/>
      <c r="AX147" s="115">
        <f t="shared" si="2"/>
        <v>1900</v>
      </c>
      <c r="AY147" s="115">
        <f t="shared" si="3"/>
        <v>1900</v>
      </c>
    </row>
    <row r="148" spans="1:51" ht="22.5" customHeight="1">
      <c r="A148" s="102"/>
      <c r="B148" s="102"/>
      <c r="C148" s="102"/>
      <c r="D148" s="102"/>
      <c r="E148" s="102"/>
      <c r="F148" s="102"/>
      <c r="G148" s="102"/>
      <c r="H148" s="102"/>
      <c r="I148" s="102"/>
      <c r="J148" s="102"/>
      <c r="K148" s="104"/>
      <c r="L148" s="63" t="str">
        <f t="shared" ca="1" si="0"/>
        <v/>
      </c>
      <c r="M148" s="104"/>
      <c r="N148" s="105"/>
      <c r="O148" s="104"/>
      <c r="P148" s="102"/>
      <c r="Q148" s="102"/>
      <c r="R148" s="106"/>
      <c r="S148" s="107"/>
      <c r="T148" s="102"/>
      <c r="U148" s="102"/>
      <c r="V148" s="102"/>
      <c r="W148" s="102"/>
      <c r="X148" s="102"/>
      <c r="Y148" s="102"/>
      <c r="Z148" s="102"/>
      <c r="AA148" s="102"/>
      <c r="AB148" s="105"/>
      <c r="AC148" s="105"/>
      <c r="AD148" s="108"/>
      <c r="AE148" s="102"/>
      <c r="AF148" s="109"/>
      <c r="AG148" s="107"/>
      <c r="AH148" s="111"/>
      <c r="AI148" s="111"/>
      <c r="AJ148" s="131" t="str">
        <f t="shared" ca="1" si="7"/>
        <v/>
      </c>
      <c r="AK148" s="102"/>
      <c r="AL148" s="102"/>
      <c r="AM148" s="105"/>
      <c r="AN148" s="105"/>
      <c r="AO148" s="105"/>
      <c r="AP148" s="109"/>
      <c r="AQ148" s="112"/>
      <c r="AR148" s="102"/>
      <c r="AS148" s="102"/>
      <c r="AT148" s="113"/>
      <c r="AU148" s="108"/>
      <c r="AV148" s="107"/>
      <c r="AW148" s="109"/>
      <c r="AX148" s="115">
        <f t="shared" si="2"/>
        <v>1900</v>
      </c>
      <c r="AY148" s="115">
        <f t="shared" si="3"/>
        <v>1900</v>
      </c>
    </row>
    <row r="149" spans="1:51" ht="22.5" customHeight="1">
      <c r="A149" s="102"/>
      <c r="B149" s="102"/>
      <c r="C149" s="102"/>
      <c r="D149" s="102"/>
      <c r="E149" s="102"/>
      <c r="F149" s="102"/>
      <c r="G149" s="102"/>
      <c r="H149" s="102"/>
      <c r="I149" s="102"/>
      <c r="J149" s="102"/>
      <c r="K149" s="104"/>
      <c r="L149" s="63" t="str">
        <f t="shared" ca="1" si="0"/>
        <v/>
      </c>
      <c r="M149" s="104"/>
      <c r="N149" s="105"/>
      <c r="O149" s="104"/>
      <c r="P149" s="102"/>
      <c r="Q149" s="102"/>
      <c r="R149" s="106"/>
      <c r="S149" s="107"/>
      <c r="T149" s="102"/>
      <c r="U149" s="102"/>
      <c r="V149" s="102"/>
      <c r="W149" s="102"/>
      <c r="X149" s="102"/>
      <c r="Y149" s="102"/>
      <c r="Z149" s="102"/>
      <c r="AA149" s="102"/>
      <c r="AB149" s="105"/>
      <c r="AC149" s="105"/>
      <c r="AD149" s="108"/>
      <c r="AE149" s="102"/>
      <c r="AF149" s="109"/>
      <c r="AG149" s="107"/>
      <c r="AH149" s="111"/>
      <c r="AI149" s="111"/>
      <c r="AJ149" s="131" t="str">
        <f t="shared" ca="1" si="7"/>
        <v/>
      </c>
      <c r="AK149" s="102"/>
      <c r="AL149" s="102"/>
      <c r="AM149" s="105"/>
      <c r="AN149" s="105"/>
      <c r="AO149" s="105"/>
      <c r="AP149" s="109"/>
      <c r="AQ149" s="112"/>
      <c r="AR149" s="102"/>
      <c r="AS149" s="102"/>
      <c r="AT149" s="113"/>
      <c r="AU149" s="108"/>
      <c r="AV149" s="107"/>
      <c r="AW149" s="109"/>
      <c r="AX149" s="115">
        <f t="shared" si="2"/>
        <v>1900</v>
      </c>
      <c r="AY149" s="115">
        <f t="shared" si="3"/>
        <v>1900</v>
      </c>
    </row>
    <row r="150" spans="1:51" ht="22.5" customHeight="1">
      <c r="A150" s="102"/>
      <c r="B150" s="102"/>
      <c r="C150" s="102"/>
      <c r="D150" s="102"/>
      <c r="E150" s="102"/>
      <c r="F150" s="102"/>
      <c r="G150" s="102"/>
      <c r="H150" s="102"/>
      <c r="I150" s="102"/>
      <c r="J150" s="102"/>
      <c r="K150" s="104"/>
      <c r="L150" s="63" t="str">
        <f t="shared" ca="1" si="0"/>
        <v/>
      </c>
      <c r="M150" s="104"/>
      <c r="N150" s="105"/>
      <c r="O150" s="104"/>
      <c r="P150" s="102"/>
      <c r="Q150" s="102"/>
      <c r="R150" s="106"/>
      <c r="S150" s="107"/>
      <c r="T150" s="102"/>
      <c r="U150" s="102"/>
      <c r="V150" s="102"/>
      <c r="W150" s="102"/>
      <c r="X150" s="102"/>
      <c r="Y150" s="102"/>
      <c r="Z150" s="102"/>
      <c r="AA150" s="102"/>
      <c r="AB150" s="105"/>
      <c r="AC150" s="117"/>
      <c r="AD150" s="108"/>
      <c r="AE150" s="102"/>
      <c r="AF150" s="109"/>
      <c r="AG150" s="107"/>
      <c r="AH150" s="111"/>
      <c r="AI150" s="111"/>
      <c r="AJ150" s="131" t="str">
        <f t="shared" ca="1" si="7"/>
        <v/>
      </c>
      <c r="AK150" s="102"/>
      <c r="AL150" s="102"/>
      <c r="AM150" s="105"/>
      <c r="AN150" s="105"/>
      <c r="AO150" s="105"/>
      <c r="AP150" s="109"/>
      <c r="AQ150" s="112"/>
      <c r="AR150" s="102"/>
      <c r="AS150" s="102"/>
      <c r="AT150" s="113"/>
      <c r="AU150" s="108"/>
      <c r="AV150" s="107"/>
      <c r="AW150" s="109"/>
      <c r="AX150" s="115">
        <f t="shared" si="2"/>
        <v>1900</v>
      </c>
      <c r="AY150" s="115">
        <f t="shared" si="3"/>
        <v>1900</v>
      </c>
    </row>
    <row r="151" spans="1:51" ht="22.5" customHeight="1">
      <c r="A151" s="102"/>
      <c r="B151" s="102"/>
      <c r="C151" s="102"/>
      <c r="D151" s="102"/>
      <c r="E151" s="102"/>
      <c r="F151" s="102"/>
      <c r="G151" s="102"/>
      <c r="H151" s="102"/>
      <c r="I151" s="102"/>
      <c r="J151" s="102"/>
      <c r="K151" s="104"/>
      <c r="L151" s="63" t="str">
        <f t="shared" ca="1" si="0"/>
        <v/>
      </c>
      <c r="M151" s="104"/>
      <c r="N151" s="105"/>
      <c r="O151" s="104"/>
      <c r="P151" s="102"/>
      <c r="Q151" s="102"/>
      <c r="R151" s="106"/>
      <c r="S151" s="107"/>
      <c r="T151" s="102"/>
      <c r="U151" s="102"/>
      <c r="V151" s="102"/>
      <c r="W151" s="102"/>
      <c r="X151" s="102"/>
      <c r="Y151" s="102"/>
      <c r="Z151" s="102"/>
      <c r="AA151" s="102"/>
      <c r="AB151" s="105"/>
      <c r="AC151" s="117"/>
      <c r="AD151" s="107"/>
      <c r="AE151" s="102"/>
      <c r="AF151" s="109"/>
      <c r="AG151" s="107"/>
      <c r="AH151" s="111"/>
      <c r="AI151" s="111"/>
      <c r="AJ151" s="131" t="str">
        <f t="shared" ca="1" si="7"/>
        <v/>
      </c>
      <c r="AK151" s="102"/>
      <c r="AL151" s="102"/>
      <c r="AM151" s="105"/>
      <c r="AN151" s="105"/>
      <c r="AO151" s="105"/>
      <c r="AP151" s="109"/>
      <c r="AQ151" s="112"/>
      <c r="AR151" s="102"/>
      <c r="AS151" s="102"/>
      <c r="AT151" s="113"/>
      <c r="AU151" s="108"/>
      <c r="AV151" s="107"/>
      <c r="AW151" s="109"/>
      <c r="AX151" s="115">
        <f t="shared" si="2"/>
        <v>1900</v>
      </c>
      <c r="AY151" s="115">
        <f t="shared" si="3"/>
        <v>1900</v>
      </c>
    </row>
    <row r="152" spans="1:51" ht="22.5" customHeight="1">
      <c r="A152" s="102"/>
      <c r="B152" s="102"/>
      <c r="C152" s="102"/>
      <c r="D152" s="102"/>
      <c r="E152" s="102"/>
      <c r="F152" s="102"/>
      <c r="G152" s="102"/>
      <c r="H152" s="102"/>
      <c r="I152" s="102"/>
      <c r="J152" s="102"/>
      <c r="K152" s="104"/>
      <c r="L152" s="63" t="str">
        <f t="shared" ca="1" si="0"/>
        <v/>
      </c>
      <c r="M152" s="104"/>
      <c r="N152" s="105"/>
      <c r="O152" s="104"/>
      <c r="P152" s="102"/>
      <c r="Q152" s="102"/>
      <c r="R152" s="106"/>
      <c r="S152" s="107"/>
      <c r="T152" s="102"/>
      <c r="U152" s="102"/>
      <c r="V152" s="102"/>
      <c r="W152" s="102"/>
      <c r="X152" s="102"/>
      <c r="Y152" s="102"/>
      <c r="Z152" s="102"/>
      <c r="AA152" s="102"/>
      <c r="AB152" s="105"/>
      <c r="AC152" s="117"/>
      <c r="AD152" s="107"/>
      <c r="AE152" s="102"/>
      <c r="AF152" s="109"/>
      <c r="AG152" s="107"/>
      <c r="AH152" s="111"/>
      <c r="AI152" s="111"/>
      <c r="AJ152" s="131" t="str">
        <f t="shared" ca="1" si="7"/>
        <v/>
      </c>
      <c r="AK152" s="102"/>
      <c r="AL152" s="102"/>
      <c r="AM152" s="105"/>
      <c r="AN152" s="105"/>
      <c r="AO152" s="105"/>
      <c r="AP152" s="109"/>
      <c r="AQ152" s="112"/>
      <c r="AR152" s="102"/>
      <c r="AS152" s="102"/>
      <c r="AT152" s="113"/>
      <c r="AU152" s="108"/>
      <c r="AV152" s="107"/>
      <c r="AW152" s="109"/>
      <c r="AX152" s="115">
        <f t="shared" si="2"/>
        <v>1900</v>
      </c>
      <c r="AY152" s="115">
        <f t="shared" si="3"/>
        <v>1900</v>
      </c>
    </row>
    <row r="153" spans="1:51" ht="22.5" customHeight="1">
      <c r="A153" s="102"/>
      <c r="B153" s="102"/>
      <c r="C153" s="102"/>
      <c r="D153" s="102"/>
      <c r="E153" s="102"/>
      <c r="F153" s="102"/>
      <c r="G153" s="102"/>
      <c r="H153" s="102"/>
      <c r="I153" s="102"/>
      <c r="J153" s="102"/>
      <c r="K153" s="104"/>
      <c r="L153" s="63" t="str">
        <f t="shared" ca="1" si="0"/>
        <v/>
      </c>
      <c r="M153" s="104"/>
      <c r="N153" s="105"/>
      <c r="O153" s="104"/>
      <c r="P153" s="102"/>
      <c r="Q153" s="102"/>
      <c r="R153" s="106"/>
      <c r="S153" s="107"/>
      <c r="T153" s="102"/>
      <c r="U153" s="102"/>
      <c r="V153" s="102"/>
      <c r="W153" s="102"/>
      <c r="X153" s="102"/>
      <c r="Y153" s="102"/>
      <c r="Z153" s="102"/>
      <c r="AA153" s="102"/>
      <c r="AB153" s="105"/>
      <c r="AC153" s="117"/>
      <c r="AD153" s="107"/>
      <c r="AE153" s="102"/>
      <c r="AF153" s="109"/>
      <c r="AG153" s="107"/>
      <c r="AH153" s="111"/>
      <c r="AI153" s="111"/>
      <c r="AJ153" s="131" t="str">
        <f t="shared" ca="1" si="7"/>
        <v/>
      </c>
      <c r="AK153" s="102"/>
      <c r="AL153" s="102"/>
      <c r="AM153" s="105"/>
      <c r="AN153" s="105"/>
      <c r="AO153" s="105"/>
      <c r="AP153" s="109"/>
      <c r="AQ153" s="112"/>
      <c r="AR153" s="102"/>
      <c r="AS153" s="102"/>
      <c r="AT153" s="113"/>
      <c r="AU153" s="114"/>
      <c r="AV153" s="111"/>
      <c r="AW153" s="109"/>
      <c r="AX153" s="115">
        <f t="shared" si="2"/>
        <v>1900</v>
      </c>
      <c r="AY153" s="115">
        <f t="shared" si="3"/>
        <v>1900</v>
      </c>
    </row>
    <row r="154" spans="1:51" ht="22.5" customHeight="1">
      <c r="A154" s="102"/>
      <c r="B154" s="102"/>
      <c r="C154" s="102"/>
      <c r="D154" s="102"/>
      <c r="E154" s="102"/>
      <c r="F154" s="102"/>
      <c r="G154" s="102"/>
      <c r="H154" s="102"/>
      <c r="I154" s="102"/>
      <c r="J154" s="102"/>
      <c r="K154" s="104"/>
      <c r="L154" s="63" t="str">
        <f t="shared" ca="1" si="0"/>
        <v/>
      </c>
      <c r="M154" s="104"/>
      <c r="N154" s="105"/>
      <c r="O154" s="104"/>
      <c r="P154" s="102"/>
      <c r="Q154" s="102"/>
      <c r="R154" s="106"/>
      <c r="S154" s="107"/>
      <c r="T154" s="102"/>
      <c r="U154" s="102"/>
      <c r="V154" s="102"/>
      <c r="W154" s="102"/>
      <c r="X154" s="102"/>
      <c r="Y154" s="102"/>
      <c r="Z154" s="102"/>
      <c r="AA154" s="102"/>
      <c r="AB154" s="105"/>
      <c r="AC154" s="117"/>
      <c r="AD154" s="107"/>
      <c r="AE154" s="102"/>
      <c r="AF154" s="109"/>
      <c r="AG154" s="107"/>
      <c r="AH154" s="111"/>
      <c r="AI154" s="111"/>
      <c r="AJ154" s="131" t="str">
        <f t="shared" ca="1" si="7"/>
        <v/>
      </c>
      <c r="AK154" s="102"/>
      <c r="AL154" s="102"/>
      <c r="AM154" s="105"/>
      <c r="AN154" s="105"/>
      <c r="AO154" s="105"/>
      <c r="AP154" s="109"/>
      <c r="AQ154" s="112"/>
      <c r="AR154" s="102"/>
      <c r="AS154" s="102"/>
      <c r="AT154" s="113"/>
      <c r="AU154" s="108"/>
      <c r="AV154" s="107"/>
      <c r="AW154" s="109"/>
      <c r="AX154" s="115">
        <f t="shared" si="2"/>
        <v>1900</v>
      </c>
      <c r="AY154" s="115">
        <f t="shared" si="3"/>
        <v>1900</v>
      </c>
    </row>
    <row r="155" spans="1:51" ht="22.5" customHeight="1">
      <c r="A155" s="102"/>
      <c r="B155" s="102"/>
      <c r="C155" s="102"/>
      <c r="D155" s="102"/>
      <c r="E155" s="102"/>
      <c r="F155" s="102"/>
      <c r="G155" s="102"/>
      <c r="H155" s="102"/>
      <c r="I155" s="102"/>
      <c r="J155" s="102"/>
      <c r="K155" s="104"/>
      <c r="L155" s="63" t="str">
        <f t="shared" ca="1" si="0"/>
        <v/>
      </c>
      <c r="M155" s="104"/>
      <c r="N155" s="105"/>
      <c r="O155" s="104"/>
      <c r="P155" s="102"/>
      <c r="Q155" s="102"/>
      <c r="R155" s="106"/>
      <c r="S155" s="107"/>
      <c r="T155" s="102"/>
      <c r="U155" s="102"/>
      <c r="V155" s="102"/>
      <c r="W155" s="102"/>
      <c r="X155" s="102"/>
      <c r="Y155" s="102"/>
      <c r="Z155" s="102"/>
      <c r="AA155" s="102"/>
      <c r="AB155" s="105"/>
      <c r="AC155" s="117"/>
      <c r="AD155" s="108"/>
      <c r="AE155" s="102"/>
      <c r="AF155" s="109"/>
      <c r="AG155" s="107"/>
      <c r="AH155" s="111"/>
      <c r="AI155" s="111"/>
      <c r="AJ155" s="131" t="str">
        <f t="shared" ca="1" si="7"/>
        <v/>
      </c>
      <c r="AK155" s="102"/>
      <c r="AL155" s="102"/>
      <c r="AM155" s="105"/>
      <c r="AN155" s="105"/>
      <c r="AO155" s="105"/>
      <c r="AP155" s="109"/>
      <c r="AQ155" s="112"/>
      <c r="AR155" s="102"/>
      <c r="AS155" s="102"/>
      <c r="AT155" s="113"/>
      <c r="AU155" s="108"/>
      <c r="AV155" s="107"/>
      <c r="AW155" s="109"/>
      <c r="AX155" s="115">
        <f t="shared" si="2"/>
        <v>1900</v>
      </c>
      <c r="AY155" s="115">
        <f t="shared" si="3"/>
        <v>1900</v>
      </c>
    </row>
    <row r="156" spans="1:51" ht="22.5" customHeight="1">
      <c r="A156" s="102"/>
      <c r="B156" s="102"/>
      <c r="C156" s="102"/>
      <c r="D156" s="102"/>
      <c r="E156" s="102"/>
      <c r="F156" s="102"/>
      <c r="G156" s="102"/>
      <c r="H156" s="102"/>
      <c r="I156" s="102"/>
      <c r="J156" s="102"/>
      <c r="K156" s="104"/>
      <c r="L156" s="63" t="str">
        <f t="shared" ca="1" si="0"/>
        <v/>
      </c>
      <c r="M156" s="104"/>
      <c r="N156" s="105"/>
      <c r="O156" s="104"/>
      <c r="P156" s="102"/>
      <c r="Q156" s="111"/>
      <c r="R156" s="106"/>
      <c r="S156" s="107"/>
      <c r="T156" s="102"/>
      <c r="U156" s="102"/>
      <c r="V156" s="102"/>
      <c r="W156" s="105"/>
      <c r="X156" s="105"/>
      <c r="Y156" s="105"/>
      <c r="Z156" s="105"/>
      <c r="AA156" s="105"/>
      <c r="AB156" s="105"/>
      <c r="AC156" s="109"/>
      <c r="AD156" s="107"/>
      <c r="AE156" s="102"/>
      <c r="AF156" s="109"/>
      <c r="AG156" s="107"/>
      <c r="AH156" s="111"/>
      <c r="AI156" s="111"/>
      <c r="AJ156" s="131" t="str">
        <f t="shared" ca="1" si="7"/>
        <v/>
      </c>
      <c r="AK156" s="102"/>
      <c r="AL156" s="102"/>
      <c r="AM156" s="105"/>
      <c r="AN156" s="105"/>
      <c r="AO156" s="105"/>
      <c r="AP156" s="109"/>
      <c r="AQ156" s="112"/>
      <c r="AR156" s="102"/>
      <c r="AS156" s="102"/>
      <c r="AT156" s="113"/>
      <c r="AU156" s="108"/>
      <c r="AV156" s="107"/>
      <c r="AW156" s="109"/>
      <c r="AX156" s="115">
        <f t="shared" si="2"/>
        <v>1900</v>
      </c>
      <c r="AY156" s="115">
        <f t="shared" si="3"/>
        <v>1900</v>
      </c>
    </row>
    <row r="157" spans="1:51" ht="22.5" customHeight="1">
      <c r="A157" s="102"/>
      <c r="B157" s="102"/>
      <c r="C157" s="102"/>
      <c r="D157" s="102"/>
      <c r="E157" s="102"/>
      <c r="F157" s="102"/>
      <c r="G157" s="102"/>
      <c r="H157" s="102"/>
      <c r="I157" s="102"/>
      <c r="J157" s="102"/>
      <c r="K157" s="104"/>
      <c r="L157" s="63" t="str">
        <f t="shared" ca="1" si="0"/>
        <v/>
      </c>
      <c r="M157" s="104"/>
      <c r="N157" s="105"/>
      <c r="O157" s="104"/>
      <c r="P157" s="102"/>
      <c r="Q157" s="111"/>
      <c r="R157" s="106"/>
      <c r="S157" s="107"/>
      <c r="T157" s="102"/>
      <c r="U157" s="102"/>
      <c r="V157" s="102"/>
      <c r="W157" s="105"/>
      <c r="X157" s="105"/>
      <c r="Y157" s="105"/>
      <c r="Z157" s="105"/>
      <c r="AA157" s="105"/>
      <c r="AB157" s="105"/>
      <c r="AC157" s="109"/>
      <c r="AD157" s="107"/>
      <c r="AE157" s="102"/>
      <c r="AF157" s="109"/>
      <c r="AG157" s="107"/>
      <c r="AH157" s="111"/>
      <c r="AI157" s="111"/>
      <c r="AJ157" s="131" t="str">
        <f t="shared" ca="1" si="7"/>
        <v/>
      </c>
      <c r="AK157" s="102"/>
      <c r="AL157" s="102"/>
      <c r="AM157" s="105"/>
      <c r="AN157" s="105"/>
      <c r="AO157" s="105"/>
      <c r="AP157" s="109"/>
      <c r="AQ157" s="112"/>
      <c r="AR157" s="102"/>
      <c r="AS157" s="102"/>
      <c r="AT157" s="113"/>
      <c r="AU157" s="108"/>
      <c r="AV157" s="107"/>
      <c r="AW157" s="109"/>
      <c r="AX157" s="115">
        <f t="shared" si="2"/>
        <v>1900</v>
      </c>
      <c r="AY157" s="115">
        <f t="shared" si="3"/>
        <v>1900</v>
      </c>
    </row>
    <row r="158" spans="1:51" ht="22.5" customHeight="1">
      <c r="A158" s="102"/>
      <c r="B158" s="102"/>
      <c r="C158" s="102"/>
      <c r="D158" s="102"/>
      <c r="E158" s="102"/>
      <c r="F158" s="102"/>
      <c r="G158" s="102"/>
      <c r="H158" s="102"/>
      <c r="I158" s="102"/>
      <c r="J158" s="102"/>
      <c r="K158" s="104"/>
      <c r="L158" s="63" t="str">
        <f t="shared" ca="1" si="0"/>
        <v/>
      </c>
      <c r="M158" s="104"/>
      <c r="N158" s="105"/>
      <c r="O158" s="104"/>
      <c r="P158" s="102"/>
      <c r="Q158" s="111"/>
      <c r="R158" s="106"/>
      <c r="S158" s="107"/>
      <c r="T158" s="102"/>
      <c r="U158" s="102"/>
      <c r="V158" s="102"/>
      <c r="W158" s="105"/>
      <c r="X158" s="105"/>
      <c r="Y158" s="105"/>
      <c r="Z158" s="105"/>
      <c r="AA158" s="105"/>
      <c r="AB158" s="105"/>
      <c r="AC158" s="117"/>
      <c r="AD158" s="107"/>
      <c r="AE158" s="102"/>
      <c r="AF158" s="109"/>
      <c r="AG158" s="107"/>
      <c r="AH158" s="111"/>
      <c r="AI158" s="111"/>
      <c r="AJ158" s="131" t="str">
        <f t="shared" ca="1" si="7"/>
        <v/>
      </c>
      <c r="AK158" s="102"/>
      <c r="AL158" s="102"/>
      <c r="AM158" s="105"/>
      <c r="AN158" s="105"/>
      <c r="AO158" s="105"/>
      <c r="AP158" s="109"/>
      <c r="AQ158" s="112"/>
      <c r="AR158" s="102"/>
      <c r="AS158" s="102"/>
      <c r="AT158" s="113"/>
      <c r="AU158" s="114"/>
      <c r="AV158" s="111"/>
      <c r="AW158" s="109"/>
      <c r="AX158" s="115">
        <f t="shared" si="2"/>
        <v>1900</v>
      </c>
      <c r="AY158" s="115">
        <f t="shared" si="3"/>
        <v>1900</v>
      </c>
    </row>
    <row r="159" spans="1:51" ht="22.5" customHeight="1">
      <c r="A159" s="102"/>
      <c r="B159" s="102"/>
      <c r="C159" s="102"/>
      <c r="D159" s="102"/>
      <c r="E159" s="102"/>
      <c r="F159" s="102"/>
      <c r="G159" s="102"/>
      <c r="H159" s="102"/>
      <c r="I159" s="102"/>
      <c r="J159" s="102"/>
      <c r="K159" s="104"/>
      <c r="L159" s="63" t="str">
        <f t="shared" ca="1" si="0"/>
        <v/>
      </c>
      <c r="M159" s="104"/>
      <c r="N159" s="105"/>
      <c r="O159" s="104"/>
      <c r="P159" s="102"/>
      <c r="Q159" s="111"/>
      <c r="R159" s="106"/>
      <c r="S159" s="107"/>
      <c r="T159" s="102"/>
      <c r="U159" s="102"/>
      <c r="V159" s="102"/>
      <c r="W159" s="105"/>
      <c r="X159" s="105"/>
      <c r="Y159" s="105"/>
      <c r="Z159" s="105"/>
      <c r="AA159" s="105"/>
      <c r="AB159" s="105"/>
      <c r="AC159" s="109"/>
      <c r="AD159" s="107"/>
      <c r="AE159" s="102"/>
      <c r="AF159" s="109"/>
      <c r="AG159" s="107"/>
      <c r="AH159" s="111"/>
      <c r="AI159" s="111"/>
      <c r="AJ159" s="131" t="str">
        <f t="shared" ca="1" si="7"/>
        <v/>
      </c>
      <c r="AK159" s="102"/>
      <c r="AL159" s="102"/>
      <c r="AM159" s="116"/>
      <c r="AN159" s="105"/>
      <c r="AO159" s="105"/>
      <c r="AP159" s="109"/>
      <c r="AQ159" s="112"/>
      <c r="AR159" s="102"/>
      <c r="AS159" s="102"/>
      <c r="AT159" s="113"/>
      <c r="AU159" s="108"/>
      <c r="AV159" s="107"/>
      <c r="AW159" s="109"/>
      <c r="AX159" s="115">
        <f t="shared" si="2"/>
        <v>1900</v>
      </c>
      <c r="AY159" s="115">
        <f t="shared" si="3"/>
        <v>1900</v>
      </c>
    </row>
    <row r="160" spans="1:51" ht="22.5" customHeight="1">
      <c r="A160" s="102"/>
      <c r="B160" s="102"/>
      <c r="C160" s="102"/>
      <c r="D160" s="102"/>
      <c r="E160" s="102"/>
      <c r="F160" s="102"/>
      <c r="G160" s="102"/>
      <c r="H160" s="102"/>
      <c r="I160" s="102"/>
      <c r="J160" s="102"/>
      <c r="K160" s="104"/>
      <c r="L160" s="63" t="str">
        <f t="shared" ca="1" si="0"/>
        <v/>
      </c>
      <c r="M160" s="104"/>
      <c r="N160" s="105"/>
      <c r="O160" s="104"/>
      <c r="P160" s="102"/>
      <c r="Q160" s="111"/>
      <c r="R160" s="106"/>
      <c r="S160" s="107"/>
      <c r="T160" s="102"/>
      <c r="U160" s="102"/>
      <c r="V160" s="102"/>
      <c r="W160" s="105"/>
      <c r="X160" s="105"/>
      <c r="Y160" s="105"/>
      <c r="Z160" s="105"/>
      <c r="AA160" s="105"/>
      <c r="AB160" s="105"/>
      <c r="AC160" s="109"/>
      <c r="AD160" s="107"/>
      <c r="AE160" s="102"/>
      <c r="AF160" s="109"/>
      <c r="AG160" s="107"/>
      <c r="AH160" s="111"/>
      <c r="AI160" s="111"/>
      <c r="AJ160" s="131" t="str">
        <f t="shared" ca="1" si="7"/>
        <v/>
      </c>
      <c r="AK160" s="102"/>
      <c r="AL160" s="102"/>
      <c r="AM160" s="105"/>
      <c r="AN160" s="105"/>
      <c r="AO160" s="105"/>
      <c r="AP160" s="109"/>
      <c r="AQ160" s="112"/>
      <c r="AR160" s="102"/>
      <c r="AS160" s="102"/>
      <c r="AT160" s="113"/>
      <c r="AU160" s="114"/>
      <c r="AV160" s="111"/>
      <c r="AW160" s="109"/>
      <c r="AX160" s="115">
        <f t="shared" si="2"/>
        <v>1900</v>
      </c>
      <c r="AY160" s="115">
        <f t="shared" si="3"/>
        <v>1900</v>
      </c>
    </row>
    <row r="161" spans="1:51" ht="22.5" customHeight="1">
      <c r="A161" s="102"/>
      <c r="B161" s="102"/>
      <c r="C161" s="102"/>
      <c r="D161" s="102"/>
      <c r="E161" s="102"/>
      <c r="F161" s="102"/>
      <c r="G161" s="102"/>
      <c r="H161" s="102"/>
      <c r="I161" s="102"/>
      <c r="J161" s="102"/>
      <c r="K161" s="104"/>
      <c r="L161" s="63" t="str">
        <f t="shared" ca="1" si="0"/>
        <v/>
      </c>
      <c r="M161" s="104"/>
      <c r="N161" s="105"/>
      <c r="O161" s="104"/>
      <c r="P161" s="102"/>
      <c r="Q161" s="111"/>
      <c r="R161" s="106"/>
      <c r="S161" s="107"/>
      <c r="T161" s="102"/>
      <c r="U161" s="102"/>
      <c r="V161" s="102"/>
      <c r="W161" s="105"/>
      <c r="X161" s="105"/>
      <c r="Y161" s="105"/>
      <c r="Z161" s="105"/>
      <c r="AA161" s="105"/>
      <c r="AB161" s="105"/>
      <c r="AC161" s="109"/>
      <c r="AD161" s="107"/>
      <c r="AE161" s="102"/>
      <c r="AF161" s="109"/>
      <c r="AG161" s="107"/>
      <c r="AH161" s="111"/>
      <c r="AI161" s="111"/>
      <c r="AJ161" s="131" t="str">
        <f t="shared" ca="1" si="7"/>
        <v/>
      </c>
      <c r="AK161" s="102"/>
      <c r="AL161" s="102"/>
      <c r="AM161" s="105"/>
      <c r="AN161" s="105"/>
      <c r="AO161" s="105"/>
      <c r="AP161" s="109"/>
      <c r="AQ161" s="112"/>
      <c r="AR161" s="102"/>
      <c r="AS161" s="102"/>
      <c r="AT161" s="113"/>
      <c r="AU161" s="108"/>
      <c r="AV161" s="107"/>
      <c r="AW161" s="109"/>
      <c r="AX161" s="115">
        <f t="shared" si="2"/>
        <v>1900</v>
      </c>
      <c r="AY161" s="115">
        <f t="shared" si="3"/>
        <v>1900</v>
      </c>
    </row>
    <row r="162" spans="1:51" ht="22.5" customHeight="1">
      <c r="A162" s="102"/>
      <c r="B162" s="102"/>
      <c r="C162" s="102"/>
      <c r="D162" s="102"/>
      <c r="E162" s="102"/>
      <c r="F162" s="102"/>
      <c r="G162" s="102"/>
      <c r="H162" s="102"/>
      <c r="I162" s="102"/>
      <c r="J162" s="102"/>
      <c r="K162" s="104"/>
      <c r="L162" s="63" t="str">
        <f t="shared" ca="1" si="0"/>
        <v/>
      </c>
      <c r="M162" s="104"/>
      <c r="N162" s="105"/>
      <c r="O162" s="104"/>
      <c r="P162" s="102"/>
      <c r="Q162" s="111"/>
      <c r="R162" s="106"/>
      <c r="S162" s="107"/>
      <c r="T162" s="102"/>
      <c r="U162" s="102"/>
      <c r="V162" s="102"/>
      <c r="W162" s="105"/>
      <c r="X162" s="105"/>
      <c r="Y162" s="105"/>
      <c r="Z162" s="105"/>
      <c r="AA162" s="105"/>
      <c r="AB162" s="105"/>
      <c r="AC162" s="109"/>
      <c r="AD162" s="107"/>
      <c r="AE162" s="102"/>
      <c r="AF162" s="109"/>
      <c r="AG162" s="107"/>
      <c r="AH162" s="111"/>
      <c r="AI162" s="111"/>
      <c r="AJ162" s="131" t="str">
        <f t="shared" ca="1" si="7"/>
        <v/>
      </c>
      <c r="AK162" s="102"/>
      <c r="AL162" s="102"/>
      <c r="AM162" s="105"/>
      <c r="AN162" s="105"/>
      <c r="AO162" s="105"/>
      <c r="AP162" s="109"/>
      <c r="AQ162" s="112"/>
      <c r="AR162" s="102"/>
      <c r="AS162" s="102"/>
      <c r="AT162" s="113"/>
      <c r="AU162" s="114"/>
      <c r="AV162" s="111"/>
      <c r="AW162" s="109"/>
      <c r="AX162" s="115">
        <f t="shared" si="2"/>
        <v>1900</v>
      </c>
      <c r="AY162" s="115">
        <f t="shared" si="3"/>
        <v>1900</v>
      </c>
    </row>
    <row r="163" spans="1:51" ht="22.5" customHeight="1">
      <c r="A163" s="102"/>
      <c r="B163" s="102"/>
      <c r="C163" s="102"/>
      <c r="D163" s="102"/>
      <c r="E163" s="102"/>
      <c r="F163" s="102"/>
      <c r="G163" s="102"/>
      <c r="H163" s="102"/>
      <c r="I163" s="102"/>
      <c r="J163" s="102"/>
      <c r="K163" s="104"/>
      <c r="L163" s="63" t="str">
        <f t="shared" ca="1" si="0"/>
        <v/>
      </c>
      <c r="M163" s="104"/>
      <c r="N163" s="105"/>
      <c r="O163" s="104"/>
      <c r="P163" s="102"/>
      <c r="Q163" s="111"/>
      <c r="R163" s="106"/>
      <c r="S163" s="107"/>
      <c r="T163" s="102"/>
      <c r="U163" s="102"/>
      <c r="V163" s="102"/>
      <c r="W163" s="105"/>
      <c r="X163" s="105"/>
      <c r="Y163" s="105"/>
      <c r="Z163" s="105"/>
      <c r="AA163" s="105"/>
      <c r="AB163" s="105"/>
      <c r="AC163" s="109"/>
      <c r="AD163" s="107"/>
      <c r="AE163" s="102"/>
      <c r="AF163" s="109"/>
      <c r="AG163" s="107"/>
      <c r="AH163" s="111"/>
      <c r="AI163" s="111"/>
      <c r="AJ163" s="131" t="str">
        <f t="shared" ca="1" si="7"/>
        <v/>
      </c>
      <c r="AK163" s="102"/>
      <c r="AL163" s="102"/>
      <c r="AM163" s="105"/>
      <c r="AN163" s="105"/>
      <c r="AO163" s="105"/>
      <c r="AP163" s="109"/>
      <c r="AQ163" s="112"/>
      <c r="AR163" s="102"/>
      <c r="AS163" s="102"/>
      <c r="AT163" s="113"/>
      <c r="AU163" s="108"/>
      <c r="AV163" s="107"/>
      <c r="AW163" s="109"/>
      <c r="AX163" s="115">
        <f t="shared" si="2"/>
        <v>1900</v>
      </c>
      <c r="AY163" s="115">
        <f t="shared" si="3"/>
        <v>1900</v>
      </c>
    </row>
    <row r="164" spans="1:51" ht="22.5" customHeight="1">
      <c r="A164" s="102"/>
      <c r="B164" s="102"/>
      <c r="C164" s="102"/>
      <c r="D164" s="102"/>
      <c r="E164" s="102"/>
      <c r="F164" s="102"/>
      <c r="G164" s="102"/>
      <c r="H164" s="102"/>
      <c r="I164" s="102"/>
      <c r="J164" s="102"/>
      <c r="K164" s="104"/>
      <c r="L164" s="63" t="str">
        <f t="shared" ca="1" si="0"/>
        <v/>
      </c>
      <c r="M164" s="104"/>
      <c r="N164" s="105"/>
      <c r="O164" s="104"/>
      <c r="P164" s="102"/>
      <c r="Q164" s="111"/>
      <c r="R164" s="106"/>
      <c r="S164" s="107"/>
      <c r="T164" s="102"/>
      <c r="U164" s="102"/>
      <c r="V164" s="102"/>
      <c r="W164" s="105"/>
      <c r="X164" s="105"/>
      <c r="Y164" s="105"/>
      <c r="Z164" s="105"/>
      <c r="AA164" s="105"/>
      <c r="AB164" s="105"/>
      <c r="AC164" s="109"/>
      <c r="AD164" s="107"/>
      <c r="AE164" s="102"/>
      <c r="AF164" s="109"/>
      <c r="AG164" s="107"/>
      <c r="AH164" s="111"/>
      <c r="AI164" s="111"/>
      <c r="AJ164" s="131" t="str">
        <f t="shared" ca="1" si="7"/>
        <v/>
      </c>
      <c r="AK164" s="102"/>
      <c r="AL164" s="102"/>
      <c r="AM164" s="116"/>
      <c r="AN164" s="105"/>
      <c r="AO164" s="105"/>
      <c r="AP164" s="109"/>
      <c r="AQ164" s="112"/>
      <c r="AR164" s="102"/>
      <c r="AS164" s="102"/>
      <c r="AT164" s="113"/>
      <c r="AU164" s="114"/>
      <c r="AV164" s="111"/>
      <c r="AW164" s="109"/>
      <c r="AX164" s="115">
        <f t="shared" si="2"/>
        <v>1900</v>
      </c>
      <c r="AY164" s="115">
        <f t="shared" si="3"/>
        <v>1900</v>
      </c>
    </row>
    <row r="165" spans="1:51" ht="22.5" customHeight="1">
      <c r="A165" s="102"/>
      <c r="B165" s="102"/>
      <c r="C165" s="102"/>
      <c r="D165" s="102"/>
      <c r="E165" s="102"/>
      <c r="F165" s="102"/>
      <c r="G165" s="102"/>
      <c r="H165" s="102"/>
      <c r="I165" s="102"/>
      <c r="J165" s="102"/>
      <c r="K165" s="104"/>
      <c r="L165" s="63" t="str">
        <f t="shared" ca="1" si="0"/>
        <v/>
      </c>
      <c r="M165" s="104"/>
      <c r="N165" s="105"/>
      <c r="O165" s="104"/>
      <c r="P165" s="102"/>
      <c r="Q165" s="111"/>
      <c r="R165" s="106"/>
      <c r="S165" s="107"/>
      <c r="T165" s="102"/>
      <c r="U165" s="102"/>
      <c r="V165" s="102"/>
      <c r="W165" s="105"/>
      <c r="X165" s="105"/>
      <c r="Y165" s="105"/>
      <c r="Z165" s="105"/>
      <c r="AA165" s="105"/>
      <c r="AB165" s="105"/>
      <c r="AC165" s="109"/>
      <c r="AD165" s="107"/>
      <c r="AE165" s="102"/>
      <c r="AF165" s="109"/>
      <c r="AG165" s="107"/>
      <c r="AH165" s="111"/>
      <c r="AI165" s="111"/>
      <c r="AJ165" s="131" t="str">
        <f t="shared" ca="1" si="7"/>
        <v/>
      </c>
      <c r="AK165" s="102"/>
      <c r="AL165" s="102"/>
      <c r="AM165" s="105"/>
      <c r="AN165" s="105"/>
      <c r="AO165" s="105"/>
      <c r="AP165" s="109"/>
      <c r="AQ165" s="112"/>
      <c r="AR165" s="102"/>
      <c r="AS165" s="102"/>
      <c r="AT165" s="113"/>
      <c r="AU165" s="108"/>
      <c r="AV165" s="107"/>
      <c r="AW165" s="109"/>
      <c r="AX165" s="115">
        <f t="shared" si="2"/>
        <v>1900</v>
      </c>
      <c r="AY165" s="115">
        <f t="shared" si="3"/>
        <v>1900</v>
      </c>
    </row>
    <row r="166" spans="1:51" ht="22.5" customHeight="1">
      <c r="A166" s="102"/>
      <c r="B166" s="102"/>
      <c r="C166" s="102"/>
      <c r="D166" s="102"/>
      <c r="E166" s="102"/>
      <c r="F166" s="102"/>
      <c r="G166" s="102"/>
      <c r="H166" s="102"/>
      <c r="I166" s="102"/>
      <c r="J166" s="102"/>
      <c r="K166" s="104"/>
      <c r="L166" s="63" t="str">
        <f t="shared" ca="1" si="0"/>
        <v/>
      </c>
      <c r="M166" s="104"/>
      <c r="N166" s="105"/>
      <c r="O166" s="104"/>
      <c r="P166" s="102"/>
      <c r="Q166" s="111"/>
      <c r="R166" s="106"/>
      <c r="S166" s="107"/>
      <c r="T166" s="102"/>
      <c r="U166" s="102"/>
      <c r="V166" s="102"/>
      <c r="W166" s="105"/>
      <c r="X166" s="105"/>
      <c r="Y166" s="105"/>
      <c r="Z166" s="105"/>
      <c r="AA166" s="105"/>
      <c r="AB166" s="105"/>
      <c r="AC166" s="109"/>
      <c r="AD166" s="107"/>
      <c r="AE166" s="102"/>
      <c r="AF166" s="109"/>
      <c r="AG166" s="107"/>
      <c r="AH166" s="111"/>
      <c r="AI166" s="111"/>
      <c r="AJ166" s="131" t="str">
        <f t="shared" ca="1" si="7"/>
        <v/>
      </c>
      <c r="AK166" s="102"/>
      <c r="AL166" s="102"/>
      <c r="AM166" s="105"/>
      <c r="AN166" s="105"/>
      <c r="AO166" s="105"/>
      <c r="AP166" s="109"/>
      <c r="AQ166" s="112"/>
      <c r="AR166" s="102"/>
      <c r="AS166" s="102"/>
      <c r="AT166" s="113"/>
      <c r="AU166" s="114"/>
      <c r="AV166" s="111"/>
      <c r="AW166" s="109"/>
      <c r="AX166" s="115">
        <f t="shared" si="2"/>
        <v>1900</v>
      </c>
      <c r="AY166" s="115">
        <f t="shared" si="3"/>
        <v>1900</v>
      </c>
    </row>
    <row r="167" spans="1:51" ht="22.5" customHeight="1">
      <c r="A167" s="102"/>
      <c r="B167" s="102"/>
      <c r="C167" s="102"/>
      <c r="D167" s="102"/>
      <c r="E167" s="102"/>
      <c r="F167" s="102"/>
      <c r="G167" s="102"/>
      <c r="H167" s="102"/>
      <c r="I167" s="102"/>
      <c r="J167" s="102"/>
      <c r="K167" s="104"/>
      <c r="L167" s="63" t="str">
        <f t="shared" ca="1" si="0"/>
        <v/>
      </c>
      <c r="M167" s="104"/>
      <c r="N167" s="105"/>
      <c r="O167" s="104"/>
      <c r="P167" s="102"/>
      <c r="Q167" s="111"/>
      <c r="R167" s="106"/>
      <c r="S167" s="107"/>
      <c r="T167" s="102"/>
      <c r="U167" s="102"/>
      <c r="V167" s="102"/>
      <c r="W167" s="105"/>
      <c r="X167" s="105"/>
      <c r="Y167" s="105"/>
      <c r="Z167" s="105"/>
      <c r="AA167" s="105"/>
      <c r="AB167" s="105"/>
      <c r="AC167" s="109"/>
      <c r="AD167" s="107"/>
      <c r="AE167" s="102"/>
      <c r="AF167" s="109"/>
      <c r="AG167" s="107"/>
      <c r="AH167" s="111"/>
      <c r="AI167" s="111"/>
      <c r="AJ167" s="131" t="str">
        <f t="shared" ca="1" si="7"/>
        <v/>
      </c>
      <c r="AK167" s="102"/>
      <c r="AL167" s="102"/>
      <c r="AM167" s="105"/>
      <c r="AN167" s="105"/>
      <c r="AO167" s="105"/>
      <c r="AP167" s="109"/>
      <c r="AQ167" s="112"/>
      <c r="AR167" s="102"/>
      <c r="AS167" s="102"/>
      <c r="AT167" s="113"/>
      <c r="AU167" s="108"/>
      <c r="AV167" s="107"/>
      <c r="AW167" s="109"/>
      <c r="AX167" s="115">
        <f t="shared" si="2"/>
        <v>1900</v>
      </c>
      <c r="AY167" s="115">
        <f t="shared" si="3"/>
        <v>1900</v>
      </c>
    </row>
    <row r="168" spans="1:51" ht="22.5" customHeight="1">
      <c r="A168" s="102"/>
      <c r="B168" s="102"/>
      <c r="C168" s="102"/>
      <c r="D168" s="102"/>
      <c r="E168" s="102"/>
      <c r="F168" s="102"/>
      <c r="G168" s="102"/>
      <c r="H168" s="102"/>
      <c r="I168" s="102"/>
      <c r="J168" s="102"/>
      <c r="K168" s="104"/>
      <c r="L168" s="63" t="str">
        <f t="shared" ca="1" si="0"/>
        <v/>
      </c>
      <c r="M168" s="104"/>
      <c r="N168" s="105"/>
      <c r="O168" s="104"/>
      <c r="P168" s="102"/>
      <c r="Q168" s="111"/>
      <c r="R168" s="106"/>
      <c r="S168" s="107"/>
      <c r="T168" s="102"/>
      <c r="U168" s="102"/>
      <c r="V168" s="102"/>
      <c r="W168" s="105"/>
      <c r="X168" s="105"/>
      <c r="Y168" s="105"/>
      <c r="Z168" s="105"/>
      <c r="AA168" s="105"/>
      <c r="AB168" s="105"/>
      <c r="AC168" s="109"/>
      <c r="AD168" s="107"/>
      <c r="AE168" s="102"/>
      <c r="AF168" s="109"/>
      <c r="AG168" s="107"/>
      <c r="AH168" s="111"/>
      <c r="AI168" s="111"/>
      <c r="AJ168" s="131" t="str">
        <f t="shared" ca="1" si="7"/>
        <v/>
      </c>
      <c r="AK168" s="102"/>
      <c r="AL168" s="102"/>
      <c r="AM168" s="105"/>
      <c r="AN168" s="105"/>
      <c r="AO168" s="105"/>
      <c r="AP168" s="109"/>
      <c r="AQ168" s="112"/>
      <c r="AR168" s="102"/>
      <c r="AS168" s="102"/>
      <c r="AT168" s="113"/>
      <c r="AU168" s="114"/>
      <c r="AV168" s="111"/>
      <c r="AW168" s="109"/>
      <c r="AX168" s="115">
        <f t="shared" si="2"/>
        <v>1900</v>
      </c>
      <c r="AY168" s="115">
        <f t="shared" si="3"/>
        <v>1900</v>
      </c>
    </row>
    <row r="169" spans="1:51" ht="22.5" customHeight="1">
      <c r="A169" s="102"/>
      <c r="B169" s="102"/>
      <c r="C169" s="102"/>
      <c r="D169" s="102"/>
      <c r="E169" s="102"/>
      <c r="F169" s="102"/>
      <c r="G169" s="102"/>
      <c r="H169" s="102"/>
      <c r="I169" s="102"/>
      <c r="J169" s="102"/>
      <c r="K169" s="104"/>
      <c r="L169" s="63" t="str">
        <f t="shared" ca="1" si="0"/>
        <v/>
      </c>
      <c r="M169" s="104"/>
      <c r="N169" s="105"/>
      <c r="O169" s="104"/>
      <c r="P169" s="102"/>
      <c r="Q169" s="111"/>
      <c r="R169" s="106"/>
      <c r="S169" s="107"/>
      <c r="T169" s="102"/>
      <c r="U169" s="102"/>
      <c r="V169" s="102"/>
      <c r="W169" s="105"/>
      <c r="X169" s="105"/>
      <c r="Y169" s="105"/>
      <c r="Z169" s="105"/>
      <c r="AA169" s="105"/>
      <c r="AB169" s="105"/>
      <c r="AC169" s="109"/>
      <c r="AD169" s="107"/>
      <c r="AE169" s="102"/>
      <c r="AF169" s="109"/>
      <c r="AG169" s="107"/>
      <c r="AH169" s="111"/>
      <c r="AI169" s="111"/>
      <c r="AJ169" s="131" t="str">
        <f t="shared" ref="AJ169:AJ185" ca="1" si="8">IF(AL169="Inactive",IF(AU169="", "", ROUNDDOWN(YEARFRAC(AH169, AU169, 1), 0)),IF(AH169="","",ROUNDDOWN(YEARFRAC(AH169, TODAY(), 1), 0)))</f>
        <v/>
      </c>
      <c r="AK169" s="102"/>
      <c r="AL169" s="102"/>
      <c r="AM169" s="105"/>
      <c r="AN169" s="105"/>
      <c r="AO169" s="105"/>
      <c r="AP169" s="109"/>
      <c r="AQ169" s="112"/>
      <c r="AR169" s="102"/>
      <c r="AS169" s="102"/>
      <c r="AT169" s="113"/>
      <c r="AU169" s="108"/>
      <c r="AV169" s="107"/>
      <c r="AW169" s="109"/>
      <c r="AX169" s="115">
        <f t="shared" si="2"/>
        <v>1900</v>
      </c>
      <c r="AY169" s="115">
        <f t="shared" si="3"/>
        <v>1900</v>
      </c>
    </row>
    <row r="170" spans="1:51" ht="22.5" customHeight="1">
      <c r="A170" s="102"/>
      <c r="B170" s="102"/>
      <c r="C170" s="102"/>
      <c r="D170" s="102"/>
      <c r="E170" s="102"/>
      <c r="F170" s="102"/>
      <c r="G170" s="102"/>
      <c r="H170" s="102"/>
      <c r="I170" s="102"/>
      <c r="J170" s="102"/>
      <c r="K170" s="104"/>
      <c r="L170" s="63" t="str">
        <f t="shared" ca="1" si="0"/>
        <v/>
      </c>
      <c r="M170" s="104"/>
      <c r="N170" s="105"/>
      <c r="O170" s="104"/>
      <c r="P170" s="102"/>
      <c r="Q170" s="111"/>
      <c r="R170" s="106"/>
      <c r="S170" s="107"/>
      <c r="T170" s="102"/>
      <c r="U170" s="102"/>
      <c r="V170" s="102"/>
      <c r="W170" s="105"/>
      <c r="X170" s="105"/>
      <c r="Y170" s="105"/>
      <c r="Z170" s="105"/>
      <c r="AA170" s="105"/>
      <c r="AB170" s="105"/>
      <c r="AC170" s="109"/>
      <c r="AD170" s="107"/>
      <c r="AE170" s="102"/>
      <c r="AF170" s="109"/>
      <c r="AG170" s="107"/>
      <c r="AH170" s="111"/>
      <c r="AI170" s="111"/>
      <c r="AJ170" s="131" t="str">
        <f t="shared" ca="1" si="8"/>
        <v/>
      </c>
      <c r="AK170" s="102"/>
      <c r="AL170" s="102"/>
      <c r="AM170" s="105"/>
      <c r="AN170" s="105"/>
      <c r="AO170" s="105"/>
      <c r="AP170" s="109"/>
      <c r="AQ170" s="112"/>
      <c r="AR170" s="102"/>
      <c r="AS170" s="102"/>
      <c r="AT170" s="113"/>
      <c r="AU170" s="114"/>
      <c r="AV170" s="111"/>
      <c r="AW170" s="109"/>
      <c r="AX170" s="115">
        <f t="shared" si="2"/>
        <v>1900</v>
      </c>
      <c r="AY170" s="115">
        <f t="shared" si="3"/>
        <v>1900</v>
      </c>
    </row>
    <row r="171" spans="1:51" ht="22.5" customHeight="1">
      <c r="A171" s="102"/>
      <c r="B171" s="102"/>
      <c r="C171" s="102"/>
      <c r="D171" s="102"/>
      <c r="E171" s="102"/>
      <c r="F171" s="102"/>
      <c r="G171" s="102"/>
      <c r="H171" s="102"/>
      <c r="I171" s="102"/>
      <c r="J171" s="102"/>
      <c r="K171" s="104"/>
      <c r="L171" s="63" t="str">
        <f t="shared" ca="1" si="0"/>
        <v/>
      </c>
      <c r="M171" s="104"/>
      <c r="N171" s="105"/>
      <c r="O171" s="104"/>
      <c r="P171" s="102"/>
      <c r="Q171" s="111"/>
      <c r="R171" s="106"/>
      <c r="S171" s="107"/>
      <c r="T171" s="102"/>
      <c r="U171" s="102"/>
      <c r="V171" s="102"/>
      <c r="W171" s="105"/>
      <c r="X171" s="105"/>
      <c r="Y171" s="105"/>
      <c r="Z171" s="105"/>
      <c r="AA171" s="105"/>
      <c r="AB171" s="105"/>
      <c r="AC171" s="109"/>
      <c r="AD171" s="107"/>
      <c r="AE171" s="102"/>
      <c r="AF171" s="109"/>
      <c r="AG171" s="107"/>
      <c r="AH171" s="111"/>
      <c r="AI171" s="111"/>
      <c r="AJ171" s="131" t="str">
        <f t="shared" ca="1" si="8"/>
        <v/>
      </c>
      <c r="AK171" s="102"/>
      <c r="AL171" s="102"/>
      <c r="AM171" s="105"/>
      <c r="AN171" s="105"/>
      <c r="AO171" s="105"/>
      <c r="AP171" s="109"/>
      <c r="AQ171" s="112"/>
      <c r="AR171" s="102"/>
      <c r="AS171" s="102"/>
      <c r="AT171" s="113"/>
      <c r="AU171" s="108"/>
      <c r="AV171" s="107"/>
      <c r="AW171" s="109"/>
      <c r="AX171" s="115">
        <f t="shared" si="2"/>
        <v>1900</v>
      </c>
      <c r="AY171" s="115">
        <f t="shared" si="3"/>
        <v>1900</v>
      </c>
    </row>
    <row r="172" spans="1:51" ht="22.5" customHeight="1">
      <c r="A172" s="102"/>
      <c r="B172" s="102"/>
      <c r="C172" s="102"/>
      <c r="D172" s="102"/>
      <c r="E172" s="102"/>
      <c r="F172" s="102"/>
      <c r="G172" s="102"/>
      <c r="H172" s="102"/>
      <c r="I172" s="102"/>
      <c r="J172" s="102"/>
      <c r="K172" s="104"/>
      <c r="L172" s="63" t="str">
        <f t="shared" ca="1" si="0"/>
        <v/>
      </c>
      <c r="M172" s="104"/>
      <c r="N172" s="105"/>
      <c r="O172" s="104"/>
      <c r="P172" s="102"/>
      <c r="Q172" s="111"/>
      <c r="R172" s="106"/>
      <c r="S172" s="107"/>
      <c r="T172" s="102"/>
      <c r="U172" s="102"/>
      <c r="V172" s="102"/>
      <c r="W172" s="105"/>
      <c r="X172" s="105"/>
      <c r="Y172" s="105"/>
      <c r="Z172" s="105"/>
      <c r="AA172" s="105"/>
      <c r="AB172" s="105"/>
      <c r="AC172" s="109"/>
      <c r="AD172" s="107"/>
      <c r="AE172" s="102"/>
      <c r="AF172" s="109"/>
      <c r="AG172" s="107"/>
      <c r="AH172" s="111"/>
      <c r="AI172" s="111"/>
      <c r="AJ172" s="131" t="str">
        <f t="shared" ca="1" si="8"/>
        <v/>
      </c>
      <c r="AK172" s="102"/>
      <c r="AL172" s="102"/>
      <c r="AM172" s="105"/>
      <c r="AN172" s="105"/>
      <c r="AO172" s="105"/>
      <c r="AP172" s="109"/>
      <c r="AQ172" s="112"/>
      <c r="AR172" s="102"/>
      <c r="AS172" s="102"/>
      <c r="AT172" s="113"/>
      <c r="AU172" s="114"/>
      <c r="AV172" s="111"/>
      <c r="AW172" s="109"/>
      <c r="AX172" s="115">
        <f t="shared" si="2"/>
        <v>1900</v>
      </c>
      <c r="AY172" s="115">
        <f t="shared" si="3"/>
        <v>1900</v>
      </c>
    </row>
    <row r="173" spans="1:51" ht="22.5" customHeight="1">
      <c r="A173" s="102"/>
      <c r="B173" s="102"/>
      <c r="C173" s="102"/>
      <c r="D173" s="102"/>
      <c r="E173" s="102"/>
      <c r="F173" s="102"/>
      <c r="G173" s="102"/>
      <c r="H173" s="102"/>
      <c r="I173" s="102"/>
      <c r="J173" s="102"/>
      <c r="K173" s="104"/>
      <c r="L173" s="63" t="str">
        <f t="shared" ca="1" si="0"/>
        <v/>
      </c>
      <c r="M173" s="104"/>
      <c r="N173" s="105"/>
      <c r="O173" s="104"/>
      <c r="P173" s="102"/>
      <c r="Q173" s="111"/>
      <c r="R173" s="106"/>
      <c r="S173" s="107"/>
      <c r="T173" s="102"/>
      <c r="U173" s="102"/>
      <c r="V173" s="102"/>
      <c r="W173" s="105"/>
      <c r="X173" s="105"/>
      <c r="Y173" s="105"/>
      <c r="Z173" s="105"/>
      <c r="AA173" s="105"/>
      <c r="AB173" s="105"/>
      <c r="AC173" s="109"/>
      <c r="AD173" s="107"/>
      <c r="AE173" s="102"/>
      <c r="AF173" s="109"/>
      <c r="AG173" s="107"/>
      <c r="AH173" s="111"/>
      <c r="AI173" s="111"/>
      <c r="AJ173" s="131" t="str">
        <f t="shared" ca="1" si="8"/>
        <v/>
      </c>
      <c r="AK173" s="102"/>
      <c r="AL173" s="102"/>
      <c r="AM173" s="105"/>
      <c r="AN173" s="105"/>
      <c r="AO173" s="105"/>
      <c r="AP173" s="109"/>
      <c r="AQ173" s="112"/>
      <c r="AR173" s="102"/>
      <c r="AS173" s="102"/>
      <c r="AT173" s="113"/>
      <c r="AU173" s="108"/>
      <c r="AV173" s="107"/>
      <c r="AW173" s="109"/>
      <c r="AX173" s="115">
        <f t="shared" si="2"/>
        <v>1900</v>
      </c>
      <c r="AY173" s="115">
        <f t="shared" si="3"/>
        <v>1900</v>
      </c>
    </row>
    <row r="174" spans="1:51" ht="22.5" customHeight="1">
      <c r="A174" s="102"/>
      <c r="B174" s="102"/>
      <c r="C174" s="102"/>
      <c r="D174" s="102"/>
      <c r="E174" s="102"/>
      <c r="F174" s="102"/>
      <c r="G174" s="102"/>
      <c r="H174" s="102"/>
      <c r="I174" s="102"/>
      <c r="J174" s="102"/>
      <c r="K174" s="104"/>
      <c r="L174" s="63" t="str">
        <f t="shared" ca="1" si="0"/>
        <v/>
      </c>
      <c r="M174" s="104"/>
      <c r="N174" s="105"/>
      <c r="O174" s="104"/>
      <c r="P174" s="102"/>
      <c r="Q174" s="111"/>
      <c r="R174" s="106"/>
      <c r="S174" s="107"/>
      <c r="T174" s="102"/>
      <c r="U174" s="102"/>
      <c r="V174" s="102"/>
      <c r="W174" s="105"/>
      <c r="X174" s="105"/>
      <c r="Y174" s="105"/>
      <c r="Z174" s="105"/>
      <c r="AA174" s="105"/>
      <c r="AB174" s="105"/>
      <c r="AC174" s="109"/>
      <c r="AD174" s="107"/>
      <c r="AE174" s="102"/>
      <c r="AF174" s="109"/>
      <c r="AG174" s="107"/>
      <c r="AH174" s="111"/>
      <c r="AI174" s="111"/>
      <c r="AJ174" s="131" t="str">
        <f t="shared" ca="1" si="8"/>
        <v/>
      </c>
      <c r="AK174" s="102"/>
      <c r="AL174" s="102"/>
      <c r="AM174" s="105"/>
      <c r="AN174" s="105"/>
      <c r="AO174" s="105"/>
      <c r="AP174" s="109"/>
      <c r="AQ174" s="112"/>
      <c r="AR174" s="102"/>
      <c r="AS174" s="102"/>
      <c r="AT174" s="113"/>
      <c r="AU174" s="114"/>
      <c r="AV174" s="111"/>
      <c r="AW174" s="109"/>
      <c r="AX174" s="115">
        <f t="shared" si="2"/>
        <v>1900</v>
      </c>
      <c r="AY174" s="115">
        <f t="shared" si="3"/>
        <v>1900</v>
      </c>
    </row>
    <row r="175" spans="1:51" ht="22.5" customHeight="1">
      <c r="A175" s="102"/>
      <c r="B175" s="102"/>
      <c r="C175" s="102"/>
      <c r="D175" s="102"/>
      <c r="E175" s="102"/>
      <c r="F175" s="102"/>
      <c r="G175" s="102"/>
      <c r="H175" s="102"/>
      <c r="I175" s="102"/>
      <c r="J175" s="102"/>
      <c r="K175" s="104"/>
      <c r="L175" s="63" t="str">
        <f t="shared" ca="1" si="0"/>
        <v/>
      </c>
      <c r="M175" s="104"/>
      <c r="N175" s="105"/>
      <c r="O175" s="104"/>
      <c r="P175" s="102"/>
      <c r="Q175" s="111"/>
      <c r="R175" s="106"/>
      <c r="S175" s="107"/>
      <c r="T175" s="102"/>
      <c r="U175" s="102"/>
      <c r="V175" s="102"/>
      <c r="W175" s="105"/>
      <c r="X175" s="105"/>
      <c r="Y175" s="105"/>
      <c r="Z175" s="105"/>
      <c r="AA175" s="105"/>
      <c r="AB175" s="105"/>
      <c r="AC175" s="109"/>
      <c r="AD175" s="107"/>
      <c r="AE175" s="102"/>
      <c r="AF175" s="109"/>
      <c r="AG175" s="107"/>
      <c r="AH175" s="111"/>
      <c r="AI175" s="111"/>
      <c r="AJ175" s="131" t="str">
        <f t="shared" ca="1" si="8"/>
        <v/>
      </c>
      <c r="AK175" s="102"/>
      <c r="AL175" s="102"/>
      <c r="AM175" s="105"/>
      <c r="AN175" s="105"/>
      <c r="AO175" s="105"/>
      <c r="AP175" s="109"/>
      <c r="AQ175" s="112"/>
      <c r="AR175" s="102"/>
      <c r="AS175" s="102"/>
      <c r="AT175" s="113"/>
      <c r="AU175" s="108"/>
      <c r="AV175" s="107"/>
      <c r="AW175" s="109"/>
      <c r="AX175" s="115">
        <f t="shared" si="2"/>
        <v>1900</v>
      </c>
      <c r="AY175" s="115">
        <f t="shared" si="3"/>
        <v>1900</v>
      </c>
    </row>
    <row r="176" spans="1:51" ht="22.5" customHeight="1">
      <c r="A176" s="102"/>
      <c r="B176" s="102"/>
      <c r="C176" s="102"/>
      <c r="D176" s="102"/>
      <c r="E176" s="102"/>
      <c r="F176" s="102"/>
      <c r="G176" s="102"/>
      <c r="H176" s="102"/>
      <c r="I176" s="102"/>
      <c r="J176" s="102"/>
      <c r="K176" s="104"/>
      <c r="L176" s="63" t="str">
        <f t="shared" ca="1" si="0"/>
        <v/>
      </c>
      <c r="M176" s="104"/>
      <c r="N176" s="105"/>
      <c r="O176" s="104"/>
      <c r="P176" s="102"/>
      <c r="Q176" s="111"/>
      <c r="R176" s="106"/>
      <c r="S176" s="107"/>
      <c r="T176" s="102"/>
      <c r="U176" s="102"/>
      <c r="V176" s="102"/>
      <c r="W176" s="105"/>
      <c r="X176" s="105"/>
      <c r="Y176" s="105"/>
      <c r="Z176" s="105"/>
      <c r="AA176" s="105"/>
      <c r="AB176" s="105"/>
      <c r="AC176" s="105"/>
      <c r="AD176" s="108"/>
      <c r="AE176" s="102"/>
      <c r="AF176" s="109"/>
      <c r="AG176" s="107"/>
      <c r="AH176" s="111"/>
      <c r="AI176" s="111"/>
      <c r="AJ176" s="131" t="str">
        <f t="shared" ca="1" si="8"/>
        <v/>
      </c>
      <c r="AK176" s="102"/>
      <c r="AL176" s="102"/>
      <c r="AM176" s="105"/>
      <c r="AN176" s="105"/>
      <c r="AO176" s="105"/>
      <c r="AP176" s="109"/>
      <c r="AQ176" s="112"/>
      <c r="AR176" s="102"/>
      <c r="AS176" s="102"/>
      <c r="AT176" s="113"/>
      <c r="AU176" s="108"/>
      <c r="AV176" s="107"/>
      <c r="AW176" s="109"/>
      <c r="AX176" s="115">
        <f t="shared" si="2"/>
        <v>1900</v>
      </c>
      <c r="AY176" s="115">
        <f t="shared" si="3"/>
        <v>1900</v>
      </c>
    </row>
    <row r="177" spans="1:51" ht="22.5" customHeight="1">
      <c r="A177" s="102"/>
      <c r="B177" s="102"/>
      <c r="C177" s="102"/>
      <c r="D177" s="102"/>
      <c r="E177" s="102"/>
      <c r="F177" s="102"/>
      <c r="G177" s="102"/>
      <c r="H177" s="102"/>
      <c r="I177" s="102"/>
      <c r="J177" s="102"/>
      <c r="K177" s="104"/>
      <c r="L177" s="63" t="str">
        <f t="shared" ca="1" si="0"/>
        <v/>
      </c>
      <c r="M177" s="104"/>
      <c r="N177" s="105"/>
      <c r="O177" s="104"/>
      <c r="P177" s="102"/>
      <c r="Q177" s="111"/>
      <c r="R177" s="106"/>
      <c r="S177" s="107"/>
      <c r="T177" s="102"/>
      <c r="U177" s="102"/>
      <c r="V177" s="102"/>
      <c r="W177" s="105"/>
      <c r="X177" s="105"/>
      <c r="Y177" s="105"/>
      <c r="Z177" s="105"/>
      <c r="AA177" s="105"/>
      <c r="AB177" s="105"/>
      <c r="AC177" s="105"/>
      <c r="AD177" s="108"/>
      <c r="AE177" s="102"/>
      <c r="AF177" s="109"/>
      <c r="AG177" s="107"/>
      <c r="AH177" s="111"/>
      <c r="AI177" s="111"/>
      <c r="AJ177" s="131" t="str">
        <f t="shared" ca="1" si="8"/>
        <v/>
      </c>
      <c r="AK177" s="102"/>
      <c r="AL177" s="102"/>
      <c r="AM177" s="105"/>
      <c r="AN177" s="105"/>
      <c r="AO177" s="105"/>
      <c r="AP177" s="109"/>
      <c r="AQ177" s="112"/>
      <c r="AR177" s="102"/>
      <c r="AS177" s="102"/>
      <c r="AT177" s="113"/>
      <c r="AU177" s="108"/>
      <c r="AV177" s="107"/>
      <c r="AW177" s="109"/>
      <c r="AX177" s="115">
        <f t="shared" si="2"/>
        <v>1900</v>
      </c>
      <c r="AY177" s="115">
        <f t="shared" si="3"/>
        <v>1900</v>
      </c>
    </row>
    <row r="178" spans="1:51" ht="22.5" customHeight="1">
      <c r="A178" s="102"/>
      <c r="B178" s="102"/>
      <c r="C178" s="102"/>
      <c r="D178" s="102"/>
      <c r="E178" s="102"/>
      <c r="F178" s="102"/>
      <c r="G178" s="102"/>
      <c r="H178" s="102"/>
      <c r="I178" s="102"/>
      <c r="J178" s="102"/>
      <c r="K178" s="104"/>
      <c r="L178" s="63" t="str">
        <f t="shared" ca="1" si="0"/>
        <v/>
      </c>
      <c r="M178" s="104"/>
      <c r="N178" s="105"/>
      <c r="O178" s="104"/>
      <c r="P178" s="102"/>
      <c r="Q178" s="111"/>
      <c r="R178" s="106"/>
      <c r="S178" s="107"/>
      <c r="T178" s="102"/>
      <c r="U178" s="102"/>
      <c r="V178" s="102"/>
      <c r="W178" s="105"/>
      <c r="X178" s="105"/>
      <c r="Y178" s="105"/>
      <c r="Z178" s="105"/>
      <c r="AA178" s="105"/>
      <c r="AB178" s="105"/>
      <c r="AC178" s="105"/>
      <c r="AD178" s="108"/>
      <c r="AE178" s="102"/>
      <c r="AF178" s="109"/>
      <c r="AG178" s="107"/>
      <c r="AH178" s="111"/>
      <c r="AI178" s="111"/>
      <c r="AJ178" s="131" t="str">
        <f t="shared" ca="1" si="8"/>
        <v/>
      </c>
      <c r="AK178" s="102"/>
      <c r="AL178" s="102"/>
      <c r="AM178" s="105"/>
      <c r="AN178" s="105"/>
      <c r="AO178" s="105"/>
      <c r="AP178" s="109"/>
      <c r="AQ178" s="112"/>
      <c r="AR178" s="102"/>
      <c r="AS178" s="102"/>
      <c r="AT178" s="113"/>
      <c r="AU178" s="108"/>
      <c r="AV178" s="107"/>
      <c r="AW178" s="109"/>
      <c r="AX178" s="115">
        <f t="shared" si="2"/>
        <v>1900</v>
      </c>
      <c r="AY178" s="115">
        <f t="shared" si="3"/>
        <v>1900</v>
      </c>
    </row>
    <row r="179" spans="1:51" ht="22.5" customHeight="1">
      <c r="A179" s="102"/>
      <c r="B179" s="102"/>
      <c r="C179" s="102"/>
      <c r="D179" s="102"/>
      <c r="E179" s="102"/>
      <c r="F179" s="102"/>
      <c r="G179" s="102"/>
      <c r="H179" s="102"/>
      <c r="I179" s="102"/>
      <c r="J179" s="102"/>
      <c r="K179" s="104"/>
      <c r="L179" s="63" t="str">
        <f t="shared" ca="1" si="0"/>
        <v/>
      </c>
      <c r="M179" s="104"/>
      <c r="N179" s="105"/>
      <c r="O179" s="104"/>
      <c r="P179" s="102"/>
      <c r="Q179" s="111"/>
      <c r="R179" s="106"/>
      <c r="S179" s="107"/>
      <c r="T179" s="102"/>
      <c r="U179" s="102"/>
      <c r="V179" s="102"/>
      <c r="W179" s="105"/>
      <c r="X179" s="105"/>
      <c r="Y179" s="105"/>
      <c r="Z179" s="105"/>
      <c r="AA179" s="105"/>
      <c r="AB179" s="105"/>
      <c r="AC179" s="105"/>
      <c r="AD179" s="108"/>
      <c r="AE179" s="102"/>
      <c r="AF179" s="109"/>
      <c r="AG179" s="107"/>
      <c r="AH179" s="111"/>
      <c r="AI179" s="111"/>
      <c r="AJ179" s="131" t="str">
        <f t="shared" ca="1" si="8"/>
        <v/>
      </c>
      <c r="AK179" s="102"/>
      <c r="AL179" s="102"/>
      <c r="AM179" s="105"/>
      <c r="AN179" s="105"/>
      <c r="AO179" s="105"/>
      <c r="AP179" s="109"/>
      <c r="AQ179" s="112"/>
      <c r="AR179" s="102"/>
      <c r="AS179" s="102"/>
      <c r="AT179" s="113"/>
      <c r="AU179" s="108"/>
      <c r="AV179" s="107"/>
      <c r="AW179" s="109"/>
      <c r="AX179" s="115">
        <f t="shared" si="2"/>
        <v>1900</v>
      </c>
      <c r="AY179" s="115">
        <f t="shared" si="3"/>
        <v>1900</v>
      </c>
    </row>
    <row r="180" spans="1:51" ht="22.5" customHeight="1">
      <c r="A180" s="102"/>
      <c r="B180" s="102"/>
      <c r="C180" s="102"/>
      <c r="D180" s="102"/>
      <c r="E180" s="102"/>
      <c r="F180" s="102"/>
      <c r="G180" s="102"/>
      <c r="H180" s="102"/>
      <c r="I180" s="102"/>
      <c r="J180" s="102"/>
      <c r="K180" s="104"/>
      <c r="L180" s="63" t="str">
        <f t="shared" ca="1" si="0"/>
        <v/>
      </c>
      <c r="M180" s="104"/>
      <c r="N180" s="105"/>
      <c r="O180" s="104"/>
      <c r="P180" s="102"/>
      <c r="Q180" s="111"/>
      <c r="R180" s="106"/>
      <c r="S180" s="107"/>
      <c r="T180" s="102"/>
      <c r="U180" s="102"/>
      <c r="V180" s="102"/>
      <c r="W180" s="105"/>
      <c r="X180" s="105"/>
      <c r="Y180" s="105"/>
      <c r="Z180" s="105"/>
      <c r="AA180" s="105"/>
      <c r="AB180" s="105"/>
      <c r="AC180" s="105"/>
      <c r="AD180" s="108"/>
      <c r="AE180" s="102"/>
      <c r="AF180" s="109"/>
      <c r="AG180" s="107"/>
      <c r="AH180" s="111"/>
      <c r="AI180" s="111"/>
      <c r="AJ180" s="131" t="str">
        <f t="shared" ca="1" si="8"/>
        <v/>
      </c>
      <c r="AK180" s="102"/>
      <c r="AL180" s="102"/>
      <c r="AM180" s="105"/>
      <c r="AN180" s="105"/>
      <c r="AO180" s="105"/>
      <c r="AP180" s="109"/>
      <c r="AQ180" s="112"/>
      <c r="AR180" s="102"/>
      <c r="AS180" s="102"/>
      <c r="AT180" s="113"/>
      <c r="AU180" s="114"/>
      <c r="AV180" s="111"/>
      <c r="AW180" s="109"/>
      <c r="AX180" s="115">
        <f t="shared" si="2"/>
        <v>1900</v>
      </c>
      <c r="AY180" s="115">
        <f t="shared" si="3"/>
        <v>1900</v>
      </c>
    </row>
    <row r="181" spans="1:51" ht="22.5" customHeight="1">
      <c r="A181" s="102"/>
      <c r="B181" s="102"/>
      <c r="C181" s="102"/>
      <c r="D181" s="102"/>
      <c r="E181" s="102"/>
      <c r="F181" s="102"/>
      <c r="G181" s="102"/>
      <c r="H181" s="102"/>
      <c r="I181" s="102"/>
      <c r="J181" s="102"/>
      <c r="K181" s="104"/>
      <c r="L181" s="63" t="str">
        <f t="shared" ca="1" si="0"/>
        <v/>
      </c>
      <c r="M181" s="104"/>
      <c r="N181" s="105"/>
      <c r="O181" s="104"/>
      <c r="P181" s="102"/>
      <c r="Q181" s="111"/>
      <c r="R181" s="106"/>
      <c r="S181" s="107"/>
      <c r="T181" s="102"/>
      <c r="U181" s="102"/>
      <c r="V181" s="102"/>
      <c r="W181" s="105"/>
      <c r="X181" s="105"/>
      <c r="Y181" s="105"/>
      <c r="Z181" s="105"/>
      <c r="AA181" s="105"/>
      <c r="AB181" s="105"/>
      <c r="AC181" s="109"/>
      <c r="AD181" s="107"/>
      <c r="AE181" s="102"/>
      <c r="AF181" s="109"/>
      <c r="AG181" s="107"/>
      <c r="AH181" s="111"/>
      <c r="AI181" s="111"/>
      <c r="AJ181" s="131" t="str">
        <f t="shared" ca="1" si="8"/>
        <v/>
      </c>
      <c r="AK181" s="102"/>
      <c r="AL181" s="102"/>
      <c r="AM181" s="105"/>
      <c r="AN181" s="105"/>
      <c r="AO181" s="105"/>
      <c r="AP181" s="109"/>
      <c r="AQ181" s="112"/>
      <c r="AR181" s="102"/>
      <c r="AS181" s="102"/>
      <c r="AT181" s="113"/>
      <c r="AU181" s="114"/>
      <c r="AV181" s="111"/>
      <c r="AW181" s="109"/>
      <c r="AX181" s="115">
        <f t="shared" si="2"/>
        <v>1900</v>
      </c>
      <c r="AY181" s="115">
        <f t="shared" si="3"/>
        <v>1900</v>
      </c>
    </row>
    <row r="182" spans="1:51" ht="22.5" customHeight="1">
      <c r="A182" s="102"/>
      <c r="B182" s="102"/>
      <c r="C182" s="102"/>
      <c r="D182" s="102"/>
      <c r="E182" s="102"/>
      <c r="F182" s="102"/>
      <c r="G182" s="102"/>
      <c r="H182" s="102"/>
      <c r="I182" s="102"/>
      <c r="J182" s="102"/>
      <c r="K182" s="104"/>
      <c r="L182" s="63" t="str">
        <f t="shared" ca="1" si="0"/>
        <v/>
      </c>
      <c r="M182" s="104"/>
      <c r="N182" s="105"/>
      <c r="O182" s="104"/>
      <c r="P182" s="102"/>
      <c r="Q182" s="111"/>
      <c r="R182" s="106"/>
      <c r="S182" s="107"/>
      <c r="T182" s="102"/>
      <c r="U182" s="102"/>
      <c r="V182" s="102"/>
      <c r="W182" s="105"/>
      <c r="X182" s="105"/>
      <c r="Y182" s="105"/>
      <c r="Z182" s="105"/>
      <c r="AA182" s="105"/>
      <c r="AB182" s="105"/>
      <c r="AC182" s="109"/>
      <c r="AD182" s="107"/>
      <c r="AE182" s="102"/>
      <c r="AF182" s="109"/>
      <c r="AG182" s="107"/>
      <c r="AH182" s="111"/>
      <c r="AI182" s="111"/>
      <c r="AJ182" s="131" t="str">
        <f t="shared" ca="1" si="8"/>
        <v/>
      </c>
      <c r="AK182" s="102"/>
      <c r="AL182" s="102"/>
      <c r="AM182" s="105"/>
      <c r="AN182" s="105"/>
      <c r="AO182" s="105"/>
      <c r="AP182" s="109"/>
      <c r="AQ182" s="112"/>
      <c r="AR182" s="102"/>
      <c r="AS182" s="102"/>
      <c r="AT182" s="113"/>
      <c r="AU182" s="108"/>
      <c r="AV182" s="107"/>
      <c r="AW182" s="109"/>
      <c r="AX182" s="115">
        <f t="shared" si="2"/>
        <v>1900</v>
      </c>
      <c r="AY182" s="115">
        <f t="shared" si="3"/>
        <v>1900</v>
      </c>
    </row>
    <row r="183" spans="1:51" ht="22.5" customHeight="1">
      <c r="A183" s="102"/>
      <c r="B183" s="102"/>
      <c r="C183" s="102"/>
      <c r="D183" s="102"/>
      <c r="E183" s="102"/>
      <c r="F183" s="102"/>
      <c r="G183" s="102"/>
      <c r="H183" s="102"/>
      <c r="I183" s="102"/>
      <c r="J183" s="102"/>
      <c r="K183" s="104"/>
      <c r="L183" s="63" t="str">
        <f t="shared" ca="1" si="0"/>
        <v/>
      </c>
      <c r="M183" s="104"/>
      <c r="N183" s="105"/>
      <c r="O183" s="104"/>
      <c r="P183" s="102"/>
      <c r="Q183" s="111"/>
      <c r="R183" s="106"/>
      <c r="S183" s="107"/>
      <c r="T183" s="102"/>
      <c r="U183" s="102"/>
      <c r="V183" s="102"/>
      <c r="W183" s="105"/>
      <c r="X183" s="105"/>
      <c r="Y183" s="105"/>
      <c r="Z183" s="105"/>
      <c r="AA183" s="105"/>
      <c r="AB183" s="105"/>
      <c r="AC183" s="105"/>
      <c r="AD183" s="108"/>
      <c r="AE183" s="102"/>
      <c r="AF183" s="109"/>
      <c r="AG183" s="107"/>
      <c r="AH183" s="111"/>
      <c r="AI183" s="111"/>
      <c r="AJ183" s="131" t="str">
        <f t="shared" ca="1" si="8"/>
        <v/>
      </c>
      <c r="AK183" s="102"/>
      <c r="AL183" s="102"/>
      <c r="AM183" s="105"/>
      <c r="AN183" s="105"/>
      <c r="AO183" s="105"/>
      <c r="AP183" s="109"/>
      <c r="AQ183" s="112"/>
      <c r="AR183" s="102"/>
      <c r="AS183" s="102"/>
      <c r="AT183" s="113"/>
      <c r="AU183" s="108"/>
      <c r="AV183" s="107"/>
      <c r="AW183" s="109"/>
      <c r="AX183" s="115">
        <f t="shared" si="2"/>
        <v>1900</v>
      </c>
      <c r="AY183" s="115">
        <f t="shared" si="3"/>
        <v>1900</v>
      </c>
    </row>
    <row r="184" spans="1:51" ht="22.5" customHeight="1">
      <c r="A184" s="102"/>
      <c r="B184" s="102"/>
      <c r="C184" s="102"/>
      <c r="D184" s="102"/>
      <c r="E184" s="102"/>
      <c r="F184" s="102"/>
      <c r="G184" s="102"/>
      <c r="H184" s="102"/>
      <c r="I184" s="102"/>
      <c r="J184" s="102"/>
      <c r="K184" s="104"/>
      <c r="L184" s="63" t="str">
        <f t="shared" ca="1" si="0"/>
        <v/>
      </c>
      <c r="M184" s="104"/>
      <c r="N184" s="105"/>
      <c r="O184" s="104"/>
      <c r="P184" s="102"/>
      <c r="Q184" s="111"/>
      <c r="R184" s="106"/>
      <c r="S184" s="107"/>
      <c r="T184" s="102"/>
      <c r="U184" s="102"/>
      <c r="V184" s="102"/>
      <c r="W184" s="105"/>
      <c r="X184" s="105"/>
      <c r="Y184" s="105"/>
      <c r="Z184" s="105"/>
      <c r="AA184" s="105"/>
      <c r="AB184" s="105"/>
      <c r="AC184" s="105"/>
      <c r="AD184" s="108"/>
      <c r="AE184" s="102"/>
      <c r="AF184" s="109"/>
      <c r="AG184" s="107"/>
      <c r="AH184" s="111"/>
      <c r="AI184" s="111"/>
      <c r="AJ184" s="131" t="str">
        <f t="shared" ca="1" si="8"/>
        <v/>
      </c>
      <c r="AK184" s="102"/>
      <c r="AL184" s="102"/>
      <c r="AM184" s="105"/>
      <c r="AN184" s="105"/>
      <c r="AO184" s="105"/>
      <c r="AP184" s="109"/>
      <c r="AQ184" s="112"/>
      <c r="AR184" s="102"/>
      <c r="AS184" s="102"/>
      <c r="AT184" s="113"/>
      <c r="AU184" s="108"/>
      <c r="AV184" s="107"/>
      <c r="AW184" s="109"/>
      <c r="AX184" s="115">
        <f t="shared" si="2"/>
        <v>1900</v>
      </c>
      <c r="AY184" s="115">
        <f t="shared" si="3"/>
        <v>1900</v>
      </c>
    </row>
    <row r="185" spans="1:51" ht="22.5" customHeight="1">
      <c r="A185" s="102"/>
      <c r="B185" s="102"/>
      <c r="C185" s="102"/>
      <c r="D185" s="102"/>
      <c r="E185" s="102"/>
      <c r="F185" s="102"/>
      <c r="G185" s="102"/>
      <c r="H185" s="102"/>
      <c r="I185" s="102"/>
      <c r="J185" s="102"/>
      <c r="K185" s="104"/>
      <c r="L185" s="63" t="str">
        <f t="shared" ca="1" si="0"/>
        <v/>
      </c>
      <c r="M185" s="104"/>
      <c r="N185" s="105"/>
      <c r="O185" s="104"/>
      <c r="P185" s="102"/>
      <c r="Q185" s="111"/>
      <c r="R185" s="106"/>
      <c r="S185" s="107"/>
      <c r="T185" s="102"/>
      <c r="U185" s="102"/>
      <c r="V185" s="102"/>
      <c r="W185" s="105"/>
      <c r="X185" s="105"/>
      <c r="Y185" s="105"/>
      <c r="Z185" s="105"/>
      <c r="AA185" s="105"/>
      <c r="AB185" s="105"/>
      <c r="AC185" s="105"/>
      <c r="AD185" s="108"/>
      <c r="AE185" s="102"/>
      <c r="AF185" s="109"/>
      <c r="AG185" s="107"/>
      <c r="AH185" s="111"/>
      <c r="AI185" s="111"/>
      <c r="AJ185" s="131" t="str">
        <f t="shared" ca="1" si="8"/>
        <v/>
      </c>
      <c r="AK185" s="102"/>
      <c r="AL185" s="102"/>
      <c r="AM185" s="105"/>
      <c r="AN185" s="105"/>
      <c r="AO185" s="105"/>
      <c r="AP185" s="109"/>
      <c r="AQ185" s="112"/>
      <c r="AR185" s="102"/>
      <c r="AS185" s="102"/>
      <c r="AT185" s="113"/>
      <c r="AU185" s="108"/>
      <c r="AV185" s="107"/>
      <c r="AW185" s="109"/>
      <c r="AX185" s="115">
        <f t="shared" si="2"/>
        <v>1900</v>
      </c>
      <c r="AY185" s="115">
        <f t="shared" si="3"/>
        <v>1900</v>
      </c>
    </row>
    <row r="186" spans="1:51" ht="22.5" customHeight="1">
      <c r="A186" s="102"/>
      <c r="B186" s="102"/>
      <c r="C186" s="102"/>
      <c r="D186" s="102"/>
      <c r="E186" s="102"/>
      <c r="F186" s="102"/>
      <c r="G186" s="102"/>
      <c r="H186" s="102"/>
      <c r="I186" s="102"/>
      <c r="J186" s="102"/>
      <c r="K186" s="104"/>
      <c r="L186" s="63" t="str">
        <f t="shared" ca="1" si="0"/>
        <v/>
      </c>
      <c r="M186" s="104"/>
      <c r="N186" s="105"/>
      <c r="O186" s="104"/>
      <c r="P186" s="102"/>
      <c r="Q186" s="111"/>
      <c r="R186" s="106"/>
      <c r="S186" s="107"/>
      <c r="T186" s="102"/>
      <c r="U186" s="102"/>
      <c r="V186" s="102"/>
      <c r="W186" s="105"/>
      <c r="X186" s="105"/>
      <c r="Y186" s="105"/>
      <c r="Z186" s="105"/>
      <c r="AA186" s="105"/>
      <c r="AB186" s="105"/>
      <c r="AC186" s="109"/>
      <c r="AD186" s="107"/>
      <c r="AE186" s="102"/>
      <c r="AF186" s="109"/>
      <c r="AG186" s="107"/>
      <c r="AH186" s="111"/>
      <c r="AI186" s="111"/>
      <c r="AJ186" s="131" t="str">
        <f t="shared" ca="1" si="1"/>
        <v/>
      </c>
      <c r="AK186" s="102"/>
      <c r="AL186" s="102"/>
      <c r="AM186" s="105"/>
      <c r="AN186" s="105"/>
      <c r="AO186" s="105"/>
      <c r="AP186" s="109"/>
      <c r="AQ186" s="112"/>
      <c r="AR186" s="102"/>
      <c r="AS186" s="102"/>
      <c r="AT186" s="113"/>
      <c r="AU186" s="108"/>
      <c r="AV186" s="107"/>
      <c r="AW186" s="109"/>
      <c r="AX186" s="115">
        <f t="shared" si="2"/>
        <v>1900</v>
      </c>
      <c r="AY186" s="115">
        <f t="shared" si="3"/>
        <v>1900</v>
      </c>
    </row>
    <row r="187" spans="1:51" ht="22.5" customHeight="1">
      <c r="A187" s="102"/>
      <c r="B187" s="102"/>
      <c r="C187" s="102"/>
      <c r="D187" s="102"/>
      <c r="E187" s="102"/>
      <c r="F187" s="102"/>
      <c r="G187" s="102"/>
      <c r="H187" s="102"/>
      <c r="I187" s="102"/>
      <c r="J187" s="102"/>
      <c r="K187" s="104"/>
      <c r="L187" s="63" t="str">
        <f t="shared" ca="1" si="0"/>
        <v/>
      </c>
      <c r="M187" s="104"/>
      <c r="N187" s="105"/>
      <c r="O187" s="104"/>
      <c r="P187" s="102"/>
      <c r="Q187" s="111"/>
      <c r="R187" s="106"/>
      <c r="S187" s="107"/>
      <c r="T187" s="102"/>
      <c r="U187" s="102"/>
      <c r="V187" s="102"/>
      <c r="W187" s="105"/>
      <c r="X187" s="105"/>
      <c r="Y187" s="105"/>
      <c r="Z187" s="105"/>
      <c r="AA187" s="105"/>
      <c r="AB187" s="105"/>
      <c r="AC187" s="109"/>
      <c r="AD187" s="107"/>
      <c r="AE187" s="102"/>
      <c r="AF187" s="109"/>
      <c r="AG187" s="107"/>
      <c r="AH187" s="111"/>
      <c r="AI187" s="111"/>
      <c r="AJ187" s="131" t="str">
        <f t="shared" ca="1" si="1"/>
        <v/>
      </c>
      <c r="AK187" s="102"/>
      <c r="AL187" s="102"/>
      <c r="AM187" s="105"/>
      <c r="AN187" s="105"/>
      <c r="AO187" s="105"/>
      <c r="AP187" s="109"/>
      <c r="AQ187" s="112"/>
      <c r="AR187" s="102"/>
      <c r="AS187" s="102"/>
      <c r="AT187" s="113"/>
      <c r="AU187" s="108"/>
      <c r="AV187" s="107"/>
      <c r="AW187" s="109"/>
      <c r="AX187" s="115">
        <f t="shared" si="2"/>
        <v>1900</v>
      </c>
      <c r="AY187" s="115">
        <f t="shared" si="3"/>
        <v>1900</v>
      </c>
    </row>
    <row r="188" spans="1:51" ht="22.5" customHeight="1">
      <c r="A188" s="102"/>
      <c r="B188" s="102"/>
      <c r="C188" s="102"/>
      <c r="D188" s="102"/>
      <c r="E188" s="102"/>
      <c r="F188" s="102"/>
      <c r="G188" s="102"/>
      <c r="H188" s="102"/>
      <c r="I188" s="102"/>
      <c r="J188" s="102"/>
      <c r="K188" s="104"/>
      <c r="L188" s="63" t="str">
        <f t="shared" ca="1" si="0"/>
        <v/>
      </c>
      <c r="M188" s="104"/>
      <c r="N188" s="105"/>
      <c r="O188" s="104"/>
      <c r="P188" s="102"/>
      <c r="Q188" s="111"/>
      <c r="R188" s="106"/>
      <c r="S188" s="107"/>
      <c r="T188" s="102"/>
      <c r="U188" s="102"/>
      <c r="V188" s="102"/>
      <c r="W188" s="105"/>
      <c r="X188" s="105"/>
      <c r="Y188" s="105"/>
      <c r="Z188" s="105"/>
      <c r="AA188" s="105"/>
      <c r="AB188" s="105"/>
      <c r="AC188" s="109"/>
      <c r="AD188" s="107"/>
      <c r="AE188" s="102"/>
      <c r="AF188" s="109"/>
      <c r="AG188" s="107"/>
      <c r="AH188" s="111"/>
      <c r="AI188" s="111"/>
      <c r="AJ188" s="131" t="str">
        <f t="shared" ca="1" si="1"/>
        <v/>
      </c>
      <c r="AK188" s="102"/>
      <c r="AL188" s="102"/>
      <c r="AM188" s="105"/>
      <c r="AN188" s="105"/>
      <c r="AO188" s="105"/>
      <c r="AP188" s="109"/>
      <c r="AQ188" s="112"/>
      <c r="AR188" s="102"/>
      <c r="AS188" s="102"/>
      <c r="AT188" s="113"/>
      <c r="AU188" s="108"/>
      <c r="AV188" s="107"/>
      <c r="AW188" s="109"/>
      <c r="AX188" s="115">
        <f t="shared" si="2"/>
        <v>1900</v>
      </c>
      <c r="AY188" s="115">
        <f t="shared" si="3"/>
        <v>1900</v>
      </c>
    </row>
    <row r="189" spans="1:51" ht="22.5" customHeight="1">
      <c r="A189" s="102"/>
      <c r="B189" s="102"/>
      <c r="C189" s="102"/>
      <c r="D189" s="102"/>
      <c r="E189" s="102"/>
      <c r="F189" s="102"/>
      <c r="G189" s="102"/>
      <c r="H189" s="102"/>
      <c r="I189" s="102"/>
      <c r="J189" s="102"/>
      <c r="K189" s="104"/>
      <c r="L189" s="63" t="str">
        <f t="shared" ca="1" si="0"/>
        <v/>
      </c>
      <c r="M189" s="104"/>
      <c r="N189" s="105"/>
      <c r="O189" s="104"/>
      <c r="P189" s="102"/>
      <c r="Q189" s="111"/>
      <c r="R189" s="106"/>
      <c r="S189" s="107"/>
      <c r="T189" s="102"/>
      <c r="U189" s="102"/>
      <c r="V189" s="102"/>
      <c r="W189" s="105"/>
      <c r="X189" s="105"/>
      <c r="Y189" s="105"/>
      <c r="Z189" s="105"/>
      <c r="AA189" s="105"/>
      <c r="AB189" s="105"/>
      <c r="AC189" s="109"/>
      <c r="AD189" s="107"/>
      <c r="AE189" s="102"/>
      <c r="AF189" s="109"/>
      <c r="AG189" s="107"/>
      <c r="AH189" s="111"/>
      <c r="AI189" s="111"/>
      <c r="AJ189" s="131" t="str">
        <f t="shared" ca="1" si="1"/>
        <v/>
      </c>
      <c r="AK189" s="102"/>
      <c r="AL189" s="102"/>
      <c r="AM189" s="105"/>
      <c r="AN189" s="105"/>
      <c r="AO189" s="105"/>
      <c r="AP189" s="109"/>
      <c r="AQ189" s="112"/>
      <c r="AR189" s="102"/>
      <c r="AS189" s="102"/>
      <c r="AT189" s="113"/>
      <c r="AU189" s="114"/>
      <c r="AV189" s="111"/>
      <c r="AW189" s="109"/>
      <c r="AX189" s="115">
        <f t="shared" si="2"/>
        <v>1900</v>
      </c>
      <c r="AY189" s="115">
        <f t="shared" si="3"/>
        <v>1900</v>
      </c>
    </row>
    <row r="190" spans="1:51" ht="22.5" customHeight="1">
      <c r="A190" s="102"/>
      <c r="B190" s="102"/>
      <c r="C190" s="102"/>
      <c r="D190" s="102"/>
      <c r="E190" s="102"/>
      <c r="F190" s="102"/>
      <c r="G190" s="102"/>
      <c r="H190" s="102"/>
      <c r="I190" s="102"/>
      <c r="J190" s="102"/>
      <c r="K190" s="104"/>
      <c r="L190" s="63" t="str">
        <f t="shared" ca="1" si="0"/>
        <v/>
      </c>
      <c r="M190" s="104"/>
      <c r="N190" s="105"/>
      <c r="O190" s="104"/>
      <c r="P190" s="102"/>
      <c r="Q190" s="111"/>
      <c r="R190" s="106"/>
      <c r="S190" s="107"/>
      <c r="T190" s="102"/>
      <c r="U190" s="102"/>
      <c r="V190" s="102"/>
      <c r="W190" s="105"/>
      <c r="X190" s="105"/>
      <c r="Y190" s="105"/>
      <c r="Z190" s="105"/>
      <c r="AA190" s="105"/>
      <c r="AB190" s="105"/>
      <c r="AC190" s="109"/>
      <c r="AD190" s="107"/>
      <c r="AE190" s="102"/>
      <c r="AF190" s="109"/>
      <c r="AG190" s="107"/>
      <c r="AH190" s="111"/>
      <c r="AI190" s="111"/>
      <c r="AJ190" s="131" t="str">
        <f t="shared" ca="1" si="1"/>
        <v/>
      </c>
      <c r="AK190" s="102"/>
      <c r="AL190" s="102"/>
      <c r="AM190" s="105"/>
      <c r="AN190" s="105"/>
      <c r="AO190" s="105"/>
      <c r="AP190" s="109"/>
      <c r="AQ190" s="112"/>
      <c r="AR190" s="102"/>
      <c r="AS190" s="102"/>
      <c r="AT190" s="113"/>
      <c r="AU190" s="108"/>
      <c r="AV190" s="107"/>
      <c r="AW190" s="109"/>
      <c r="AX190" s="115">
        <f t="shared" si="2"/>
        <v>1900</v>
      </c>
      <c r="AY190" s="115">
        <f t="shared" si="3"/>
        <v>1900</v>
      </c>
    </row>
    <row r="191" spans="1:51" ht="22.5" customHeight="1">
      <c r="A191" s="102"/>
      <c r="B191" s="102"/>
      <c r="C191" s="102"/>
      <c r="D191" s="102"/>
      <c r="E191" s="102"/>
      <c r="F191" s="102"/>
      <c r="G191" s="102"/>
      <c r="H191" s="102"/>
      <c r="I191" s="102"/>
      <c r="J191" s="102"/>
      <c r="K191" s="104"/>
      <c r="L191" s="63" t="str">
        <f t="shared" ca="1" si="0"/>
        <v/>
      </c>
      <c r="M191" s="104"/>
      <c r="N191" s="105"/>
      <c r="O191" s="104"/>
      <c r="P191" s="102"/>
      <c r="Q191" s="111"/>
      <c r="R191" s="106"/>
      <c r="S191" s="107"/>
      <c r="T191" s="102"/>
      <c r="U191" s="102"/>
      <c r="V191" s="102"/>
      <c r="W191" s="105"/>
      <c r="X191" s="105"/>
      <c r="Y191" s="105"/>
      <c r="Z191" s="105"/>
      <c r="AA191" s="105"/>
      <c r="AB191" s="105"/>
      <c r="AC191" s="109"/>
      <c r="AD191" s="107"/>
      <c r="AE191" s="102"/>
      <c r="AF191" s="109"/>
      <c r="AG191" s="107"/>
      <c r="AH191" s="111"/>
      <c r="AI191" s="111"/>
      <c r="AJ191" s="131" t="str">
        <f t="shared" ca="1" si="1"/>
        <v/>
      </c>
      <c r="AK191" s="102"/>
      <c r="AL191" s="102"/>
      <c r="AM191" s="105"/>
      <c r="AN191" s="105"/>
      <c r="AO191" s="105"/>
      <c r="AP191" s="109"/>
      <c r="AQ191" s="112"/>
      <c r="AR191" s="102"/>
      <c r="AS191" s="102"/>
      <c r="AT191" s="113"/>
      <c r="AU191" s="108"/>
      <c r="AV191" s="107"/>
      <c r="AW191" s="109"/>
      <c r="AX191" s="115">
        <f t="shared" si="2"/>
        <v>1900</v>
      </c>
      <c r="AY191" s="115">
        <f t="shared" si="3"/>
        <v>1900</v>
      </c>
    </row>
    <row r="192" spans="1:51" ht="22.5" customHeight="1">
      <c r="A192" s="102"/>
      <c r="B192" s="102"/>
      <c r="C192" s="102"/>
      <c r="D192" s="102"/>
      <c r="E192" s="102"/>
      <c r="F192" s="102"/>
      <c r="G192" s="102"/>
      <c r="H192" s="102"/>
      <c r="I192" s="102"/>
      <c r="J192" s="102"/>
      <c r="K192" s="104"/>
      <c r="L192" s="63" t="str">
        <f t="shared" ca="1" si="0"/>
        <v/>
      </c>
      <c r="M192" s="104"/>
      <c r="N192" s="105"/>
      <c r="O192" s="104"/>
      <c r="P192" s="102"/>
      <c r="Q192" s="111"/>
      <c r="R192" s="106"/>
      <c r="S192" s="107"/>
      <c r="T192" s="102"/>
      <c r="U192" s="102"/>
      <c r="V192" s="102"/>
      <c r="W192" s="105"/>
      <c r="X192" s="105"/>
      <c r="Y192" s="105"/>
      <c r="Z192" s="105"/>
      <c r="AA192" s="105"/>
      <c r="AB192" s="105"/>
      <c r="AC192" s="109"/>
      <c r="AD192" s="107"/>
      <c r="AE192" s="102"/>
      <c r="AF192" s="109"/>
      <c r="AG192" s="107"/>
      <c r="AH192" s="111"/>
      <c r="AI192" s="111"/>
      <c r="AJ192" s="131" t="str">
        <f t="shared" ca="1" si="1"/>
        <v/>
      </c>
      <c r="AK192" s="102"/>
      <c r="AL192" s="102"/>
      <c r="AM192" s="105"/>
      <c r="AN192" s="105"/>
      <c r="AO192" s="105"/>
      <c r="AP192" s="109"/>
      <c r="AQ192" s="112"/>
      <c r="AR192" s="102"/>
      <c r="AS192" s="102"/>
      <c r="AT192" s="113"/>
      <c r="AU192" s="114"/>
      <c r="AV192" s="111"/>
      <c r="AW192" s="109"/>
      <c r="AX192" s="115">
        <f t="shared" si="2"/>
        <v>1900</v>
      </c>
      <c r="AY192" s="115">
        <f t="shared" si="3"/>
        <v>1900</v>
      </c>
    </row>
    <row r="193" spans="1:51" ht="22.5" customHeight="1">
      <c r="A193" s="102"/>
      <c r="B193" s="102"/>
      <c r="C193" s="102"/>
      <c r="D193" s="102"/>
      <c r="E193" s="102"/>
      <c r="F193" s="102"/>
      <c r="G193" s="102"/>
      <c r="H193" s="102"/>
      <c r="I193" s="102"/>
      <c r="J193" s="102"/>
      <c r="K193" s="104"/>
      <c r="L193" s="63" t="str">
        <f t="shared" ca="1" si="0"/>
        <v/>
      </c>
      <c r="M193" s="104"/>
      <c r="N193" s="105"/>
      <c r="O193" s="104"/>
      <c r="P193" s="102"/>
      <c r="Q193" s="111"/>
      <c r="R193" s="106"/>
      <c r="S193" s="107"/>
      <c r="T193" s="102"/>
      <c r="U193" s="102"/>
      <c r="V193" s="102"/>
      <c r="W193" s="105"/>
      <c r="X193" s="105"/>
      <c r="Y193" s="105"/>
      <c r="Z193" s="105"/>
      <c r="AA193" s="105"/>
      <c r="AB193" s="105"/>
      <c r="AC193" s="109"/>
      <c r="AD193" s="107"/>
      <c r="AE193" s="102"/>
      <c r="AF193" s="109"/>
      <c r="AG193" s="107"/>
      <c r="AH193" s="111"/>
      <c r="AI193" s="111"/>
      <c r="AJ193" s="131" t="str">
        <f t="shared" ca="1" si="1"/>
        <v/>
      </c>
      <c r="AK193" s="102"/>
      <c r="AL193" s="102"/>
      <c r="AM193" s="105"/>
      <c r="AN193" s="105"/>
      <c r="AO193" s="105"/>
      <c r="AP193" s="109"/>
      <c r="AQ193" s="112"/>
      <c r="AR193" s="102"/>
      <c r="AS193" s="102"/>
      <c r="AT193" s="113"/>
      <c r="AU193" s="108"/>
      <c r="AV193" s="107"/>
      <c r="AW193" s="109"/>
      <c r="AX193" s="115">
        <f t="shared" si="2"/>
        <v>1900</v>
      </c>
      <c r="AY193" s="115">
        <f t="shared" si="3"/>
        <v>1900</v>
      </c>
    </row>
    <row r="194" spans="1:51" ht="22.5" customHeight="1">
      <c r="A194" s="102"/>
      <c r="B194" s="102"/>
      <c r="C194" s="102"/>
      <c r="D194" s="102"/>
      <c r="E194" s="102"/>
      <c r="F194" s="102"/>
      <c r="G194" s="102"/>
      <c r="H194" s="102"/>
      <c r="I194" s="102"/>
      <c r="J194" s="102"/>
      <c r="K194" s="104"/>
      <c r="L194" s="63" t="str">
        <f t="shared" ca="1" si="0"/>
        <v/>
      </c>
      <c r="M194" s="104"/>
      <c r="N194" s="105"/>
      <c r="O194" s="104"/>
      <c r="P194" s="102"/>
      <c r="Q194" s="111"/>
      <c r="R194" s="106"/>
      <c r="S194" s="107"/>
      <c r="T194" s="102"/>
      <c r="U194" s="102"/>
      <c r="V194" s="102"/>
      <c r="W194" s="105"/>
      <c r="X194" s="105"/>
      <c r="Y194" s="105"/>
      <c r="Z194" s="105"/>
      <c r="AA194" s="105"/>
      <c r="AB194" s="105"/>
      <c r="AC194" s="105"/>
      <c r="AD194" s="108"/>
      <c r="AE194" s="102"/>
      <c r="AF194" s="109"/>
      <c r="AG194" s="107"/>
      <c r="AH194" s="111"/>
      <c r="AI194" s="111"/>
      <c r="AJ194" s="131" t="str">
        <f t="shared" ca="1" si="1"/>
        <v/>
      </c>
      <c r="AK194" s="102"/>
      <c r="AL194" s="102"/>
      <c r="AM194" s="105"/>
      <c r="AN194" s="105"/>
      <c r="AO194" s="105"/>
      <c r="AP194" s="109"/>
      <c r="AQ194" s="112"/>
      <c r="AR194" s="102"/>
      <c r="AS194" s="102"/>
      <c r="AT194" s="113"/>
      <c r="AU194" s="108"/>
      <c r="AV194" s="107"/>
      <c r="AW194" s="109"/>
      <c r="AX194" s="115">
        <f t="shared" si="2"/>
        <v>1900</v>
      </c>
      <c r="AY194" s="115">
        <f t="shared" si="3"/>
        <v>1900</v>
      </c>
    </row>
    <row r="195" spans="1:51" ht="22.5" customHeight="1">
      <c r="A195" s="102"/>
      <c r="B195" s="102"/>
      <c r="C195" s="102"/>
      <c r="D195" s="102"/>
      <c r="E195" s="102"/>
      <c r="F195" s="102"/>
      <c r="G195" s="102"/>
      <c r="H195" s="102"/>
      <c r="I195" s="102"/>
      <c r="J195" s="102"/>
      <c r="K195" s="104"/>
      <c r="L195" s="63" t="str">
        <f t="shared" ca="1" si="0"/>
        <v/>
      </c>
      <c r="M195" s="104"/>
      <c r="N195" s="105"/>
      <c r="O195" s="104"/>
      <c r="P195" s="102"/>
      <c r="Q195" s="111"/>
      <c r="R195" s="106"/>
      <c r="S195" s="107"/>
      <c r="T195" s="102"/>
      <c r="U195" s="102"/>
      <c r="V195" s="102"/>
      <c r="W195" s="105"/>
      <c r="X195" s="105"/>
      <c r="Y195" s="105"/>
      <c r="Z195" s="105"/>
      <c r="AA195" s="105"/>
      <c r="AB195" s="105"/>
      <c r="AC195" s="105"/>
      <c r="AD195" s="108"/>
      <c r="AE195" s="102"/>
      <c r="AF195" s="109"/>
      <c r="AG195" s="107"/>
      <c r="AH195" s="111"/>
      <c r="AI195" s="111"/>
      <c r="AJ195" s="131" t="str">
        <f t="shared" ca="1" si="1"/>
        <v/>
      </c>
      <c r="AK195" s="102"/>
      <c r="AL195" s="102"/>
      <c r="AM195" s="105"/>
      <c r="AN195" s="105"/>
      <c r="AO195" s="105"/>
      <c r="AP195" s="109"/>
      <c r="AQ195" s="112"/>
      <c r="AR195" s="102"/>
      <c r="AS195" s="102"/>
      <c r="AT195" s="113"/>
      <c r="AU195" s="108"/>
      <c r="AV195" s="107"/>
      <c r="AW195" s="109"/>
      <c r="AX195" s="115">
        <f t="shared" si="2"/>
        <v>1900</v>
      </c>
      <c r="AY195" s="115">
        <f t="shared" si="3"/>
        <v>1900</v>
      </c>
    </row>
    <row r="196" spans="1:51" ht="22.5" customHeight="1">
      <c r="A196" s="102"/>
      <c r="B196" s="102"/>
      <c r="C196" s="102"/>
      <c r="D196" s="102"/>
      <c r="E196" s="102"/>
      <c r="F196" s="102"/>
      <c r="G196" s="102"/>
      <c r="H196" s="102"/>
      <c r="I196" s="102"/>
      <c r="J196" s="102"/>
      <c r="K196" s="104"/>
      <c r="L196" s="63" t="str">
        <f t="shared" ca="1" si="0"/>
        <v/>
      </c>
      <c r="M196" s="104"/>
      <c r="N196" s="105"/>
      <c r="O196" s="104"/>
      <c r="P196" s="102"/>
      <c r="Q196" s="111"/>
      <c r="R196" s="106"/>
      <c r="S196" s="107"/>
      <c r="T196" s="102"/>
      <c r="U196" s="102"/>
      <c r="V196" s="102"/>
      <c r="W196" s="105"/>
      <c r="X196" s="105"/>
      <c r="Y196" s="105"/>
      <c r="Z196" s="105"/>
      <c r="AA196" s="105"/>
      <c r="AB196" s="105"/>
      <c r="AC196" s="105"/>
      <c r="AD196" s="108"/>
      <c r="AE196" s="102"/>
      <c r="AF196" s="109"/>
      <c r="AG196" s="107"/>
      <c r="AH196" s="111"/>
      <c r="AI196" s="111"/>
      <c r="AJ196" s="131" t="str">
        <f t="shared" ca="1" si="1"/>
        <v/>
      </c>
      <c r="AK196" s="102"/>
      <c r="AL196" s="102"/>
      <c r="AM196" s="105"/>
      <c r="AN196" s="105"/>
      <c r="AO196" s="105"/>
      <c r="AP196" s="109"/>
      <c r="AQ196" s="112"/>
      <c r="AR196" s="102"/>
      <c r="AS196" s="102"/>
      <c r="AT196" s="113"/>
      <c r="AU196" s="108"/>
      <c r="AV196" s="107"/>
      <c r="AW196" s="109"/>
      <c r="AX196" s="115">
        <f t="shared" si="2"/>
        <v>1900</v>
      </c>
      <c r="AY196" s="115">
        <f t="shared" si="3"/>
        <v>1900</v>
      </c>
    </row>
    <row r="197" spans="1:51" ht="22.5" customHeight="1">
      <c r="A197" s="102"/>
      <c r="B197" s="102"/>
      <c r="C197" s="102"/>
      <c r="D197" s="102"/>
      <c r="E197" s="102"/>
      <c r="F197" s="102"/>
      <c r="G197" s="102"/>
      <c r="H197" s="102"/>
      <c r="I197" s="102"/>
      <c r="J197" s="102"/>
      <c r="K197" s="104"/>
      <c r="L197" s="63" t="str">
        <f t="shared" ca="1" si="0"/>
        <v/>
      </c>
      <c r="M197" s="104"/>
      <c r="N197" s="105"/>
      <c r="O197" s="104"/>
      <c r="P197" s="102"/>
      <c r="Q197" s="111"/>
      <c r="R197" s="106"/>
      <c r="S197" s="107"/>
      <c r="T197" s="102"/>
      <c r="U197" s="102"/>
      <c r="V197" s="102"/>
      <c r="W197" s="105"/>
      <c r="X197" s="105"/>
      <c r="Y197" s="105"/>
      <c r="Z197" s="105"/>
      <c r="AA197" s="105"/>
      <c r="AB197" s="105"/>
      <c r="AC197" s="105"/>
      <c r="AD197" s="108"/>
      <c r="AE197" s="102"/>
      <c r="AF197" s="109"/>
      <c r="AG197" s="107"/>
      <c r="AH197" s="111"/>
      <c r="AI197" s="111"/>
      <c r="AJ197" s="131" t="str">
        <f t="shared" ca="1" si="1"/>
        <v/>
      </c>
      <c r="AK197" s="102"/>
      <c r="AL197" s="102"/>
      <c r="AM197" s="105"/>
      <c r="AN197" s="105"/>
      <c r="AO197" s="105"/>
      <c r="AP197" s="109"/>
      <c r="AQ197" s="112"/>
      <c r="AR197" s="102"/>
      <c r="AS197" s="102"/>
      <c r="AT197" s="113"/>
      <c r="AU197" s="108"/>
      <c r="AV197" s="107"/>
      <c r="AW197" s="109"/>
      <c r="AX197" s="115">
        <f t="shared" si="2"/>
        <v>1900</v>
      </c>
      <c r="AY197" s="115">
        <f t="shared" si="3"/>
        <v>1900</v>
      </c>
    </row>
    <row r="198" spans="1:51" ht="22.5" customHeight="1">
      <c r="A198" s="102"/>
      <c r="B198" s="102"/>
      <c r="C198" s="102"/>
      <c r="D198" s="102"/>
      <c r="E198" s="102"/>
      <c r="F198" s="102"/>
      <c r="G198" s="102"/>
      <c r="H198" s="102"/>
      <c r="I198" s="102"/>
      <c r="J198" s="102"/>
      <c r="K198" s="104"/>
      <c r="L198" s="63" t="str">
        <f t="shared" ca="1" si="0"/>
        <v/>
      </c>
      <c r="M198" s="104"/>
      <c r="N198" s="105"/>
      <c r="O198" s="104"/>
      <c r="P198" s="102"/>
      <c r="Q198" s="111"/>
      <c r="R198" s="106"/>
      <c r="S198" s="107"/>
      <c r="T198" s="102"/>
      <c r="U198" s="102"/>
      <c r="V198" s="102"/>
      <c r="W198" s="105"/>
      <c r="X198" s="105"/>
      <c r="Y198" s="105"/>
      <c r="Z198" s="105"/>
      <c r="AA198" s="105"/>
      <c r="AB198" s="105"/>
      <c r="AC198" s="105"/>
      <c r="AD198" s="108"/>
      <c r="AE198" s="102"/>
      <c r="AF198" s="109"/>
      <c r="AG198" s="107"/>
      <c r="AH198" s="111"/>
      <c r="AI198" s="111"/>
      <c r="AJ198" s="131" t="str">
        <f t="shared" ca="1" si="1"/>
        <v/>
      </c>
      <c r="AK198" s="102"/>
      <c r="AL198" s="102"/>
      <c r="AM198" s="105"/>
      <c r="AN198" s="105"/>
      <c r="AO198" s="105"/>
      <c r="AP198" s="109"/>
      <c r="AQ198" s="112"/>
      <c r="AR198" s="102"/>
      <c r="AS198" s="102"/>
      <c r="AT198" s="113"/>
      <c r="AU198" s="108"/>
      <c r="AV198" s="107"/>
      <c r="AW198" s="109"/>
      <c r="AX198" s="115">
        <f t="shared" si="2"/>
        <v>1900</v>
      </c>
      <c r="AY198" s="115">
        <f t="shared" si="3"/>
        <v>1900</v>
      </c>
    </row>
    <row r="199" spans="1:51" ht="22.5" customHeight="1">
      <c r="A199" s="102"/>
      <c r="B199" s="102"/>
      <c r="C199" s="102"/>
      <c r="D199" s="102"/>
      <c r="E199" s="102"/>
      <c r="F199" s="102"/>
      <c r="G199" s="102"/>
      <c r="H199" s="102"/>
      <c r="I199" s="102"/>
      <c r="J199" s="102"/>
      <c r="K199" s="104"/>
      <c r="L199" s="63" t="str">
        <f t="shared" ca="1" si="0"/>
        <v/>
      </c>
      <c r="M199" s="104"/>
      <c r="N199" s="105"/>
      <c r="O199" s="104"/>
      <c r="P199" s="102"/>
      <c r="Q199" s="111"/>
      <c r="R199" s="106"/>
      <c r="S199" s="107"/>
      <c r="T199" s="102"/>
      <c r="U199" s="102"/>
      <c r="V199" s="102"/>
      <c r="W199" s="105"/>
      <c r="X199" s="105"/>
      <c r="Y199" s="105"/>
      <c r="Z199" s="105"/>
      <c r="AA199" s="105"/>
      <c r="AB199" s="105"/>
      <c r="AC199" s="109"/>
      <c r="AD199" s="107"/>
      <c r="AE199" s="102"/>
      <c r="AF199" s="109"/>
      <c r="AG199" s="107"/>
      <c r="AH199" s="111"/>
      <c r="AI199" s="111"/>
      <c r="AJ199" s="131" t="str">
        <f t="shared" ca="1" si="1"/>
        <v/>
      </c>
      <c r="AK199" s="102"/>
      <c r="AL199" s="102"/>
      <c r="AM199" s="105"/>
      <c r="AN199" s="105"/>
      <c r="AO199" s="105"/>
      <c r="AP199" s="109"/>
      <c r="AQ199" s="112"/>
      <c r="AR199" s="102"/>
      <c r="AS199" s="102"/>
      <c r="AT199" s="113"/>
      <c r="AU199" s="108"/>
      <c r="AV199" s="107"/>
      <c r="AW199" s="109"/>
      <c r="AX199" s="115">
        <f t="shared" si="2"/>
        <v>1900</v>
      </c>
      <c r="AY199" s="115">
        <f t="shared" si="3"/>
        <v>1900</v>
      </c>
    </row>
    <row r="200" spans="1:51" ht="22.5" customHeight="1">
      <c r="A200" s="102"/>
      <c r="B200" s="102"/>
      <c r="C200" s="102"/>
      <c r="D200" s="102"/>
      <c r="E200" s="102"/>
      <c r="F200" s="102"/>
      <c r="G200" s="102"/>
      <c r="H200" s="102"/>
      <c r="I200" s="102"/>
      <c r="J200" s="102"/>
      <c r="K200" s="104"/>
      <c r="L200" s="63" t="str">
        <f t="shared" ca="1" si="0"/>
        <v/>
      </c>
      <c r="M200" s="104"/>
      <c r="N200" s="105"/>
      <c r="O200" s="104"/>
      <c r="P200" s="102"/>
      <c r="Q200" s="111"/>
      <c r="R200" s="106"/>
      <c r="S200" s="107"/>
      <c r="T200" s="102"/>
      <c r="U200" s="102"/>
      <c r="V200" s="102"/>
      <c r="W200" s="105"/>
      <c r="X200" s="105"/>
      <c r="Y200" s="105"/>
      <c r="Z200" s="105"/>
      <c r="AA200" s="105"/>
      <c r="AB200" s="105"/>
      <c r="AC200" s="109"/>
      <c r="AD200" s="107"/>
      <c r="AE200" s="102"/>
      <c r="AF200" s="109"/>
      <c r="AG200" s="107"/>
      <c r="AH200" s="111"/>
      <c r="AI200" s="111"/>
      <c r="AJ200" s="131" t="str">
        <f t="shared" ca="1" si="1"/>
        <v/>
      </c>
      <c r="AK200" s="102"/>
      <c r="AL200" s="102"/>
      <c r="AM200" s="105"/>
      <c r="AN200" s="105"/>
      <c r="AO200" s="105"/>
      <c r="AP200" s="109"/>
      <c r="AQ200" s="112"/>
      <c r="AR200" s="102"/>
      <c r="AS200" s="102"/>
      <c r="AT200" s="113"/>
      <c r="AU200" s="108"/>
      <c r="AV200" s="107"/>
      <c r="AW200" s="109"/>
      <c r="AX200" s="115">
        <f t="shared" si="2"/>
        <v>1900</v>
      </c>
      <c r="AY200" s="115">
        <f t="shared" si="3"/>
        <v>1900</v>
      </c>
    </row>
    <row r="201" spans="1:51" ht="22.5" customHeight="1">
      <c r="A201" s="102"/>
      <c r="B201" s="102"/>
      <c r="C201" s="102"/>
      <c r="D201" s="102"/>
      <c r="E201" s="102"/>
      <c r="F201" s="102"/>
      <c r="G201" s="102"/>
      <c r="H201" s="102"/>
      <c r="I201" s="102"/>
      <c r="J201" s="102"/>
      <c r="K201" s="104"/>
      <c r="L201" s="63" t="str">
        <f t="shared" ca="1" si="0"/>
        <v/>
      </c>
      <c r="M201" s="104"/>
      <c r="N201" s="105"/>
      <c r="O201" s="104"/>
      <c r="P201" s="102"/>
      <c r="Q201" s="111"/>
      <c r="R201" s="106"/>
      <c r="S201" s="107"/>
      <c r="T201" s="102"/>
      <c r="U201" s="102"/>
      <c r="V201" s="102"/>
      <c r="W201" s="105"/>
      <c r="X201" s="105"/>
      <c r="Y201" s="105"/>
      <c r="Z201" s="105"/>
      <c r="AA201" s="105"/>
      <c r="AB201" s="105"/>
      <c r="AC201" s="105"/>
      <c r="AD201" s="108"/>
      <c r="AE201" s="102"/>
      <c r="AF201" s="109"/>
      <c r="AG201" s="107"/>
      <c r="AH201" s="111"/>
      <c r="AI201" s="111"/>
      <c r="AJ201" s="131" t="str">
        <f t="shared" ca="1" si="1"/>
        <v/>
      </c>
      <c r="AK201" s="102"/>
      <c r="AL201" s="102"/>
      <c r="AM201" s="105"/>
      <c r="AN201" s="105"/>
      <c r="AO201" s="105"/>
      <c r="AP201" s="109"/>
      <c r="AQ201" s="112"/>
      <c r="AR201" s="102"/>
      <c r="AS201" s="102"/>
      <c r="AT201" s="113"/>
      <c r="AU201" s="108"/>
      <c r="AV201" s="107"/>
      <c r="AW201" s="109"/>
      <c r="AX201" s="115">
        <f t="shared" si="2"/>
        <v>1900</v>
      </c>
      <c r="AY201" s="115">
        <f t="shared" si="3"/>
        <v>1900</v>
      </c>
    </row>
    <row r="202" spans="1:51" ht="22.5" customHeight="1">
      <c r="A202" s="102"/>
      <c r="B202" s="102"/>
      <c r="C202" s="102"/>
      <c r="D202" s="102"/>
      <c r="E202" s="102"/>
      <c r="F202" s="102"/>
      <c r="G202" s="102"/>
      <c r="H202" s="102"/>
      <c r="I202" s="102"/>
      <c r="J202" s="102"/>
      <c r="K202" s="104"/>
      <c r="L202" s="63" t="str">
        <f t="shared" ca="1" si="0"/>
        <v/>
      </c>
      <c r="M202" s="104"/>
      <c r="N202" s="105"/>
      <c r="O202" s="104"/>
      <c r="P202" s="102"/>
      <c r="Q202" s="111"/>
      <c r="R202" s="106"/>
      <c r="S202" s="107"/>
      <c r="T202" s="102"/>
      <c r="U202" s="102"/>
      <c r="V202" s="102"/>
      <c r="W202" s="105"/>
      <c r="X202" s="105"/>
      <c r="Y202" s="105"/>
      <c r="Z202" s="105"/>
      <c r="AA202" s="105"/>
      <c r="AB202" s="105"/>
      <c r="AC202" s="105"/>
      <c r="AD202" s="108"/>
      <c r="AE202" s="102"/>
      <c r="AF202" s="109"/>
      <c r="AG202" s="107"/>
      <c r="AH202" s="111"/>
      <c r="AI202" s="111"/>
      <c r="AJ202" s="131" t="str">
        <f t="shared" ca="1" si="1"/>
        <v/>
      </c>
      <c r="AK202" s="102"/>
      <c r="AL202" s="102"/>
      <c r="AM202" s="105"/>
      <c r="AN202" s="105"/>
      <c r="AO202" s="105"/>
      <c r="AP202" s="109"/>
      <c r="AQ202" s="112"/>
      <c r="AR202" s="102"/>
      <c r="AS202" s="102"/>
      <c r="AT202" s="113"/>
      <c r="AU202" s="108"/>
      <c r="AV202" s="107"/>
      <c r="AW202" s="109"/>
      <c r="AX202" s="115">
        <f t="shared" si="2"/>
        <v>1900</v>
      </c>
      <c r="AY202" s="115">
        <f t="shared" si="3"/>
        <v>1900</v>
      </c>
    </row>
    <row r="203" spans="1:51" ht="22.5" customHeight="1">
      <c r="A203" s="102"/>
      <c r="B203" s="102"/>
      <c r="C203" s="102"/>
      <c r="D203" s="102"/>
      <c r="E203" s="102"/>
      <c r="F203" s="102"/>
      <c r="G203" s="102"/>
      <c r="H203" s="102"/>
      <c r="I203" s="102"/>
      <c r="J203" s="102"/>
      <c r="K203" s="104"/>
      <c r="L203" s="63" t="str">
        <f t="shared" ca="1" si="0"/>
        <v/>
      </c>
      <c r="M203" s="104"/>
      <c r="N203" s="105"/>
      <c r="O203" s="104"/>
      <c r="P203" s="102"/>
      <c r="Q203" s="111"/>
      <c r="R203" s="106"/>
      <c r="S203" s="107"/>
      <c r="T203" s="102"/>
      <c r="U203" s="102"/>
      <c r="V203" s="102"/>
      <c r="W203" s="105"/>
      <c r="X203" s="105"/>
      <c r="Y203" s="105"/>
      <c r="Z203" s="105"/>
      <c r="AA203" s="105"/>
      <c r="AB203" s="105"/>
      <c r="AC203" s="105"/>
      <c r="AD203" s="108"/>
      <c r="AE203" s="102"/>
      <c r="AF203" s="109"/>
      <c r="AG203" s="107"/>
      <c r="AH203" s="111"/>
      <c r="AI203" s="111"/>
      <c r="AJ203" s="131" t="str">
        <f t="shared" ca="1" si="1"/>
        <v/>
      </c>
      <c r="AK203" s="102"/>
      <c r="AL203" s="102"/>
      <c r="AM203" s="105"/>
      <c r="AN203" s="105"/>
      <c r="AO203" s="105"/>
      <c r="AP203" s="109"/>
      <c r="AQ203" s="112"/>
      <c r="AR203" s="102"/>
      <c r="AS203" s="102"/>
      <c r="AT203" s="113"/>
      <c r="AU203" s="108"/>
      <c r="AV203" s="107"/>
      <c r="AW203" s="109"/>
      <c r="AX203" s="115">
        <f t="shared" si="2"/>
        <v>1900</v>
      </c>
      <c r="AY203" s="115">
        <f t="shared" si="3"/>
        <v>1900</v>
      </c>
    </row>
    <row r="204" spans="1:51" ht="22.5" customHeight="1">
      <c r="A204" s="102"/>
      <c r="B204" s="102"/>
      <c r="C204" s="102"/>
      <c r="D204" s="102"/>
      <c r="E204" s="102"/>
      <c r="F204" s="102"/>
      <c r="G204" s="102"/>
      <c r="H204" s="102"/>
      <c r="I204" s="102"/>
      <c r="J204" s="102"/>
      <c r="K204" s="104"/>
      <c r="L204" s="63" t="str">
        <f t="shared" ca="1" si="0"/>
        <v/>
      </c>
      <c r="M204" s="104"/>
      <c r="N204" s="105"/>
      <c r="O204" s="104"/>
      <c r="P204" s="102"/>
      <c r="Q204" s="111"/>
      <c r="R204" s="106"/>
      <c r="S204" s="107"/>
      <c r="T204" s="102"/>
      <c r="U204" s="102"/>
      <c r="V204" s="102"/>
      <c r="W204" s="105"/>
      <c r="X204" s="105"/>
      <c r="Y204" s="105"/>
      <c r="Z204" s="105"/>
      <c r="AA204" s="105"/>
      <c r="AB204" s="105"/>
      <c r="AC204" s="105"/>
      <c r="AD204" s="108"/>
      <c r="AE204" s="102"/>
      <c r="AF204" s="109"/>
      <c r="AG204" s="107"/>
      <c r="AH204" s="111"/>
      <c r="AI204" s="111"/>
      <c r="AJ204" s="131" t="str">
        <f t="shared" ca="1" si="1"/>
        <v/>
      </c>
      <c r="AK204" s="102"/>
      <c r="AL204" s="102"/>
      <c r="AM204" s="105"/>
      <c r="AN204" s="105"/>
      <c r="AO204" s="105"/>
      <c r="AP204" s="109"/>
      <c r="AQ204" s="112"/>
      <c r="AR204" s="102"/>
      <c r="AS204" s="102"/>
      <c r="AT204" s="113"/>
      <c r="AU204" s="108"/>
      <c r="AV204" s="107"/>
      <c r="AW204" s="109"/>
      <c r="AX204" s="115">
        <f t="shared" si="2"/>
        <v>1900</v>
      </c>
      <c r="AY204" s="115">
        <f t="shared" si="3"/>
        <v>1900</v>
      </c>
    </row>
    <row r="205" spans="1:51" ht="22.5" customHeight="1">
      <c r="A205" s="102"/>
      <c r="B205" s="102"/>
      <c r="C205" s="102"/>
      <c r="D205" s="102"/>
      <c r="E205" s="102"/>
      <c r="F205" s="102"/>
      <c r="G205" s="102"/>
      <c r="H205" s="102"/>
      <c r="I205" s="102"/>
      <c r="J205" s="102"/>
      <c r="K205" s="104"/>
      <c r="L205" s="63" t="str">
        <f t="shared" ca="1" si="0"/>
        <v/>
      </c>
      <c r="M205" s="104"/>
      <c r="N205" s="105"/>
      <c r="O205" s="104"/>
      <c r="P205" s="102"/>
      <c r="Q205" s="111"/>
      <c r="R205" s="106"/>
      <c r="S205" s="107"/>
      <c r="T205" s="102"/>
      <c r="U205" s="102"/>
      <c r="V205" s="102"/>
      <c r="W205" s="105"/>
      <c r="X205" s="105"/>
      <c r="Y205" s="105"/>
      <c r="Z205" s="105"/>
      <c r="AA205" s="105"/>
      <c r="AB205" s="105"/>
      <c r="AC205" s="105"/>
      <c r="AD205" s="108"/>
      <c r="AE205" s="102"/>
      <c r="AF205" s="109"/>
      <c r="AG205" s="107"/>
      <c r="AH205" s="111"/>
      <c r="AI205" s="111"/>
      <c r="AJ205" s="131" t="str">
        <f t="shared" ca="1" si="1"/>
        <v/>
      </c>
      <c r="AK205" s="102"/>
      <c r="AL205" s="102"/>
      <c r="AM205" s="105"/>
      <c r="AN205" s="105"/>
      <c r="AO205" s="105"/>
      <c r="AP205" s="109"/>
      <c r="AQ205" s="112"/>
      <c r="AR205" s="102"/>
      <c r="AS205" s="102"/>
      <c r="AT205" s="113"/>
      <c r="AU205" s="108"/>
      <c r="AV205" s="107"/>
      <c r="AW205" s="109"/>
      <c r="AX205" s="115">
        <f t="shared" si="2"/>
        <v>1900</v>
      </c>
      <c r="AY205" s="115">
        <f t="shared" si="3"/>
        <v>1900</v>
      </c>
    </row>
    <row r="206" spans="1:51" ht="22.5" customHeight="1">
      <c r="A206" s="102"/>
      <c r="B206" s="102"/>
      <c r="C206" s="102"/>
      <c r="D206" s="102"/>
      <c r="E206" s="102"/>
      <c r="F206" s="102"/>
      <c r="G206" s="102"/>
      <c r="H206" s="102"/>
      <c r="I206" s="102"/>
      <c r="J206" s="102"/>
      <c r="K206" s="104"/>
      <c r="L206" s="63" t="str">
        <f t="shared" ca="1" si="0"/>
        <v/>
      </c>
      <c r="M206" s="104"/>
      <c r="N206" s="105"/>
      <c r="O206" s="104"/>
      <c r="P206" s="102"/>
      <c r="Q206" s="111"/>
      <c r="R206" s="106"/>
      <c r="S206" s="107"/>
      <c r="T206" s="102"/>
      <c r="U206" s="102"/>
      <c r="V206" s="102"/>
      <c r="W206" s="105"/>
      <c r="X206" s="105"/>
      <c r="Y206" s="105"/>
      <c r="Z206" s="105"/>
      <c r="AA206" s="105"/>
      <c r="AB206" s="105"/>
      <c r="AC206" s="105"/>
      <c r="AD206" s="108"/>
      <c r="AE206" s="102"/>
      <c r="AF206" s="109"/>
      <c r="AG206" s="107"/>
      <c r="AH206" s="111"/>
      <c r="AI206" s="111"/>
      <c r="AJ206" s="131" t="str">
        <f t="shared" ca="1" si="1"/>
        <v/>
      </c>
      <c r="AK206" s="102"/>
      <c r="AL206" s="102"/>
      <c r="AM206" s="105"/>
      <c r="AN206" s="105"/>
      <c r="AO206" s="105"/>
      <c r="AP206" s="109"/>
      <c r="AQ206" s="112"/>
      <c r="AR206" s="102"/>
      <c r="AS206" s="102"/>
      <c r="AT206" s="113"/>
      <c r="AU206" s="108"/>
      <c r="AV206" s="107"/>
      <c r="AW206" s="109"/>
      <c r="AX206" s="115">
        <f t="shared" si="2"/>
        <v>1900</v>
      </c>
      <c r="AY206" s="115">
        <f t="shared" si="3"/>
        <v>1900</v>
      </c>
    </row>
    <row r="207" spans="1:51" ht="22.5" customHeight="1">
      <c r="A207" s="102"/>
      <c r="B207" s="102"/>
      <c r="C207" s="102"/>
      <c r="D207" s="102"/>
      <c r="E207" s="102"/>
      <c r="F207" s="102"/>
      <c r="G207" s="102"/>
      <c r="H207" s="102"/>
      <c r="I207" s="102"/>
      <c r="J207" s="102"/>
      <c r="K207" s="104"/>
      <c r="L207" s="63" t="str">
        <f t="shared" ca="1" si="0"/>
        <v/>
      </c>
      <c r="M207" s="104"/>
      <c r="N207" s="105"/>
      <c r="O207" s="104"/>
      <c r="P207" s="102"/>
      <c r="Q207" s="111"/>
      <c r="R207" s="106"/>
      <c r="S207" s="107"/>
      <c r="T207" s="102"/>
      <c r="U207" s="102"/>
      <c r="V207" s="102"/>
      <c r="W207" s="105"/>
      <c r="X207" s="105"/>
      <c r="Y207" s="105"/>
      <c r="Z207" s="105"/>
      <c r="AA207" s="105"/>
      <c r="AB207" s="105"/>
      <c r="AC207" s="105"/>
      <c r="AD207" s="108"/>
      <c r="AE207" s="102"/>
      <c r="AF207" s="109"/>
      <c r="AG207" s="107"/>
      <c r="AH207" s="111"/>
      <c r="AI207" s="111"/>
      <c r="AJ207" s="131" t="str">
        <f t="shared" ca="1" si="1"/>
        <v/>
      </c>
      <c r="AK207" s="102"/>
      <c r="AL207" s="102"/>
      <c r="AM207" s="105"/>
      <c r="AN207" s="105"/>
      <c r="AO207" s="105"/>
      <c r="AP207" s="109"/>
      <c r="AQ207" s="112"/>
      <c r="AR207" s="102"/>
      <c r="AS207" s="102"/>
      <c r="AT207" s="113"/>
      <c r="AU207" s="108"/>
      <c r="AV207" s="107"/>
      <c r="AW207" s="109"/>
      <c r="AX207" s="115">
        <f t="shared" si="2"/>
        <v>1900</v>
      </c>
      <c r="AY207" s="115">
        <f t="shared" si="3"/>
        <v>1900</v>
      </c>
    </row>
    <row r="208" spans="1:51" ht="22.5" customHeight="1">
      <c r="A208" s="102"/>
      <c r="B208" s="102"/>
      <c r="C208" s="102"/>
      <c r="D208" s="102"/>
      <c r="E208" s="102"/>
      <c r="F208" s="102"/>
      <c r="G208" s="102"/>
      <c r="H208" s="102"/>
      <c r="I208" s="102"/>
      <c r="J208" s="102"/>
      <c r="K208" s="104"/>
      <c r="L208" s="63" t="str">
        <f t="shared" ca="1" si="0"/>
        <v/>
      </c>
      <c r="M208" s="104"/>
      <c r="N208" s="105"/>
      <c r="O208" s="104"/>
      <c r="P208" s="102"/>
      <c r="Q208" s="111"/>
      <c r="R208" s="106"/>
      <c r="S208" s="107"/>
      <c r="T208" s="102"/>
      <c r="U208" s="102"/>
      <c r="V208" s="102"/>
      <c r="W208" s="105"/>
      <c r="X208" s="105"/>
      <c r="Y208" s="105"/>
      <c r="Z208" s="105"/>
      <c r="AA208" s="105"/>
      <c r="AB208" s="105"/>
      <c r="AC208" s="105"/>
      <c r="AD208" s="108"/>
      <c r="AE208" s="102"/>
      <c r="AF208" s="109"/>
      <c r="AG208" s="107"/>
      <c r="AH208" s="111"/>
      <c r="AI208" s="111"/>
      <c r="AJ208" s="131" t="str">
        <f t="shared" ca="1" si="1"/>
        <v/>
      </c>
      <c r="AK208" s="102"/>
      <c r="AL208" s="102"/>
      <c r="AM208" s="105"/>
      <c r="AN208" s="105"/>
      <c r="AO208" s="105"/>
      <c r="AP208" s="109"/>
      <c r="AQ208" s="112"/>
      <c r="AR208" s="102"/>
      <c r="AS208" s="102"/>
      <c r="AT208" s="113"/>
      <c r="AU208" s="108"/>
      <c r="AV208" s="107"/>
      <c r="AW208" s="109"/>
      <c r="AX208" s="115">
        <f t="shared" si="2"/>
        <v>1900</v>
      </c>
      <c r="AY208" s="115">
        <f t="shared" si="3"/>
        <v>1900</v>
      </c>
    </row>
    <row r="209" spans="1:51" ht="22.5" customHeight="1">
      <c r="A209" s="102"/>
      <c r="B209" s="102"/>
      <c r="C209" s="102"/>
      <c r="D209" s="102"/>
      <c r="E209" s="102"/>
      <c r="F209" s="102"/>
      <c r="G209" s="102"/>
      <c r="H209" s="102"/>
      <c r="I209" s="102"/>
      <c r="J209" s="102"/>
      <c r="K209" s="104"/>
      <c r="L209" s="63" t="str">
        <f t="shared" ca="1" si="0"/>
        <v/>
      </c>
      <c r="M209" s="104"/>
      <c r="N209" s="105"/>
      <c r="O209" s="104"/>
      <c r="P209" s="102"/>
      <c r="Q209" s="111"/>
      <c r="R209" s="106"/>
      <c r="S209" s="107"/>
      <c r="T209" s="102"/>
      <c r="U209" s="102"/>
      <c r="V209" s="102"/>
      <c r="W209" s="105"/>
      <c r="X209" s="105"/>
      <c r="Y209" s="105"/>
      <c r="Z209" s="105"/>
      <c r="AA209" s="105"/>
      <c r="AB209" s="105"/>
      <c r="AC209" s="109"/>
      <c r="AD209" s="107"/>
      <c r="AE209" s="102"/>
      <c r="AF209" s="109"/>
      <c r="AG209" s="107"/>
      <c r="AH209" s="111"/>
      <c r="AI209" s="111"/>
      <c r="AJ209" s="131" t="str">
        <f t="shared" ca="1" si="1"/>
        <v/>
      </c>
      <c r="AK209" s="102"/>
      <c r="AL209" s="102"/>
      <c r="AM209" s="105"/>
      <c r="AN209" s="105"/>
      <c r="AO209" s="105"/>
      <c r="AP209" s="109"/>
      <c r="AQ209" s="112"/>
      <c r="AR209" s="102"/>
      <c r="AS209" s="102"/>
      <c r="AT209" s="113"/>
      <c r="AU209" s="108"/>
      <c r="AV209" s="107"/>
      <c r="AW209" s="109"/>
      <c r="AX209" s="115">
        <f t="shared" si="2"/>
        <v>1900</v>
      </c>
      <c r="AY209" s="115">
        <f t="shared" si="3"/>
        <v>1900</v>
      </c>
    </row>
    <row r="210" spans="1:51" ht="22.5" customHeight="1">
      <c r="A210" s="102"/>
      <c r="B210" s="102"/>
      <c r="C210" s="102"/>
      <c r="D210" s="102"/>
      <c r="E210" s="102"/>
      <c r="F210" s="102"/>
      <c r="G210" s="102"/>
      <c r="H210" s="102"/>
      <c r="I210" s="102"/>
      <c r="J210" s="102"/>
      <c r="K210" s="104"/>
      <c r="L210" s="63" t="str">
        <f t="shared" ca="1" si="0"/>
        <v/>
      </c>
      <c r="M210" s="104"/>
      <c r="N210" s="105"/>
      <c r="O210" s="104"/>
      <c r="P210" s="102"/>
      <c r="Q210" s="111"/>
      <c r="R210" s="106"/>
      <c r="S210" s="107"/>
      <c r="T210" s="102"/>
      <c r="U210" s="102"/>
      <c r="V210" s="102"/>
      <c r="W210" s="105"/>
      <c r="X210" s="105"/>
      <c r="Y210" s="105"/>
      <c r="Z210" s="105"/>
      <c r="AA210" s="105"/>
      <c r="AB210" s="105"/>
      <c r="AC210" s="109"/>
      <c r="AD210" s="107"/>
      <c r="AE210" s="102"/>
      <c r="AF210" s="109"/>
      <c r="AG210" s="107"/>
      <c r="AH210" s="111"/>
      <c r="AI210" s="111"/>
      <c r="AJ210" s="131" t="str">
        <f t="shared" ca="1" si="1"/>
        <v/>
      </c>
      <c r="AK210" s="102"/>
      <c r="AL210" s="102"/>
      <c r="AM210" s="105"/>
      <c r="AN210" s="105"/>
      <c r="AO210" s="105"/>
      <c r="AP210" s="109"/>
      <c r="AQ210" s="112"/>
      <c r="AR210" s="102"/>
      <c r="AS210" s="102"/>
      <c r="AT210" s="113"/>
      <c r="AU210" s="108"/>
      <c r="AV210" s="107"/>
      <c r="AW210" s="109"/>
      <c r="AX210" s="115">
        <f t="shared" si="2"/>
        <v>1900</v>
      </c>
      <c r="AY210" s="115">
        <f t="shared" si="3"/>
        <v>1900</v>
      </c>
    </row>
    <row r="211" spans="1:51" ht="22.5" customHeight="1">
      <c r="A211" s="102"/>
      <c r="B211" s="102"/>
      <c r="C211" s="102"/>
      <c r="D211" s="102"/>
      <c r="E211" s="102"/>
      <c r="F211" s="102"/>
      <c r="G211" s="102"/>
      <c r="H211" s="102"/>
      <c r="I211" s="102"/>
      <c r="J211" s="102"/>
      <c r="K211" s="104"/>
      <c r="L211" s="63" t="str">
        <f t="shared" ca="1" si="0"/>
        <v/>
      </c>
      <c r="M211" s="104"/>
      <c r="N211" s="105"/>
      <c r="O211" s="104"/>
      <c r="P211" s="102"/>
      <c r="Q211" s="111"/>
      <c r="R211" s="106"/>
      <c r="S211" s="107"/>
      <c r="T211" s="102"/>
      <c r="U211" s="102"/>
      <c r="V211" s="102"/>
      <c r="W211" s="105"/>
      <c r="X211" s="105"/>
      <c r="Y211" s="105"/>
      <c r="Z211" s="105"/>
      <c r="AA211" s="105"/>
      <c r="AB211" s="105"/>
      <c r="AC211" s="109"/>
      <c r="AD211" s="107"/>
      <c r="AE211" s="102"/>
      <c r="AF211" s="109"/>
      <c r="AG211" s="107"/>
      <c r="AH211" s="111"/>
      <c r="AI211" s="111"/>
      <c r="AJ211" s="131" t="str">
        <f t="shared" ca="1" si="1"/>
        <v/>
      </c>
      <c r="AK211" s="102"/>
      <c r="AL211" s="102"/>
      <c r="AM211" s="105"/>
      <c r="AN211" s="105"/>
      <c r="AO211" s="105"/>
      <c r="AP211" s="109"/>
      <c r="AQ211" s="112"/>
      <c r="AR211" s="102"/>
      <c r="AS211" s="102"/>
      <c r="AT211" s="113"/>
      <c r="AU211" s="108"/>
      <c r="AV211" s="107"/>
      <c r="AW211" s="109"/>
      <c r="AX211" s="115">
        <f t="shared" si="2"/>
        <v>1900</v>
      </c>
      <c r="AY211" s="115">
        <f t="shared" si="3"/>
        <v>1900</v>
      </c>
    </row>
    <row r="212" spans="1:51" ht="22.5" customHeight="1">
      <c r="A212" s="102"/>
      <c r="B212" s="102"/>
      <c r="C212" s="102"/>
      <c r="D212" s="102"/>
      <c r="E212" s="102"/>
      <c r="F212" s="102"/>
      <c r="G212" s="102"/>
      <c r="H212" s="102"/>
      <c r="I212" s="102"/>
      <c r="J212" s="102"/>
      <c r="K212" s="104"/>
      <c r="L212" s="63" t="str">
        <f t="shared" ca="1" si="0"/>
        <v/>
      </c>
      <c r="M212" s="104"/>
      <c r="N212" s="105"/>
      <c r="O212" s="104"/>
      <c r="P212" s="102"/>
      <c r="Q212" s="111"/>
      <c r="R212" s="106"/>
      <c r="S212" s="107"/>
      <c r="T212" s="102"/>
      <c r="U212" s="102"/>
      <c r="V212" s="102"/>
      <c r="W212" s="105"/>
      <c r="X212" s="105"/>
      <c r="Y212" s="105"/>
      <c r="Z212" s="105"/>
      <c r="AA212" s="105"/>
      <c r="AB212" s="105"/>
      <c r="AC212" s="109"/>
      <c r="AD212" s="107"/>
      <c r="AE212" s="102"/>
      <c r="AF212" s="109"/>
      <c r="AG212" s="107"/>
      <c r="AH212" s="111"/>
      <c r="AI212" s="111"/>
      <c r="AJ212" s="131" t="str">
        <f t="shared" ca="1" si="1"/>
        <v/>
      </c>
      <c r="AK212" s="102"/>
      <c r="AL212" s="102"/>
      <c r="AM212" s="105"/>
      <c r="AN212" s="105"/>
      <c r="AO212" s="105"/>
      <c r="AP212" s="109"/>
      <c r="AQ212" s="112"/>
      <c r="AR212" s="102"/>
      <c r="AS212" s="102"/>
      <c r="AT212" s="113"/>
      <c r="AU212" s="114"/>
      <c r="AV212" s="111"/>
      <c r="AW212" s="109"/>
      <c r="AX212" s="115">
        <f t="shared" si="2"/>
        <v>1900</v>
      </c>
      <c r="AY212" s="115">
        <f t="shared" si="3"/>
        <v>1900</v>
      </c>
    </row>
    <row r="213" spans="1:51" ht="22.5" customHeight="1">
      <c r="A213" s="102"/>
      <c r="B213" s="102"/>
      <c r="C213" s="102"/>
      <c r="D213" s="102"/>
      <c r="E213" s="102"/>
      <c r="F213" s="102"/>
      <c r="G213" s="102"/>
      <c r="H213" s="102"/>
      <c r="I213" s="102"/>
      <c r="J213" s="102"/>
      <c r="K213" s="104"/>
      <c r="L213" s="63" t="str">
        <f t="shared" ca="1" si="0"/>
        <v/>
      </c>
      <c r="M213" s="104"/>
      <c r="N213" s="105"/>
      <c r="O213" s="104"/>
      <c r="P213" s="102"/>
      <c r="Q213" s="111"/>
      <c r="R213" s="106"/>
      <c r="S213" s="107"/>
      <c r="T213" s="102"/>
      <c r="U213" s="102"/>
      <c r="V213" s="102"/>
      <c r="W213" s="105"/>
      <c r="X213" s="105"/>
      <c r="Y213" s="105"/>
      <c r="Z213" s="105"/>
      <c r="AA213" s="105"/>
      <c r="AB213" s="105"/>
      <c r="AC213" s="109"/>
      <c r="AD213" s="107"/>
      <c r="AE213" s="102"/>
      <c r="AF213" s="109"/>
      <c r="AG213" s="107"/>
      <c r="AH213" s="111"/>
      <c r="AI213" s="111"/>
      <c r="AJ213" s="131" t="str">
        <f t="shared" ca="1" si="1"/>
        <v/>
      </c>
      <c r="AK213" s="102"/>
      <c r="AL213" s="102"/>
      <c r="AM213" s="105"/>
      <c r="AN213" s="105"/>
      <c r="AO213" s="105"/>
      <c r="AP213" s="109"/>
      <c r="AQ213" s="112"/>
      <c r="AR213" s="102"/>
      <c r="AS213" s="102"/>
      <c r="AT213" s="113"/>
      <c r="AU213" s="108"/>
      <c r="AV213" s="107"/>
      <c r="AW213" s="109"/>
      <c r="AX213" s="115">
        <f t="shared" si="2"/>
        <v>1900</v>
      </c>
      <c r="AY213" s="115">
        <f t="shared" si="3"/>
        <v>1900</v>
      </c>
    </row>
    <row r="214" spans="1:51" ht="22.5" customHeight="1">
      <c r="A214" s="102"/>
      <c r="B214" s="102"/>
      <c r="C214" s="102"/>
      <c r="D214" s="102"/>
      <c r="E214" s="102"/>
      <c r="F214" s="102"/>
      <c r="G214" s="102"/>
      <c r="H214" s="102"/>
      <c r="I214" s="102"/>
      <c r="J214" s="102"/>
      <c r="K214" s="104"/>
      <c r="L214" s="63" t="str">
        <f t="shared" ca="1" si="0"/>
        <v/>
      </c>
      <c r="M214" s="104"/>
      <c r="N214" s="105"/>
      <c r="O214" s="104"/>
      <c r="P214" s="102"/>
      <c r="Q214" s="111"/>
      <c r="R214" s="106"/>
      <c r="S214" s="107"/>
      <c r="T214" s="102"/>
      <c r="U214" s="102"/>
      <c r="V214" s="102"/>
      <c r="W214" s="105"/>
      <c r="X214" s="105"/>
      <c r="Y214" s="105"/>
      <c r="Z214" s="105"/>
      <c r="AA214" s="105"/>
      <c r="AB214" s="105"/>
      <c r="AC214" s="109"/>
      <c r="AD214" s="107"/>
      <c r="AE214" s="102"/>
      <c r="AF214" s="109"/>
      <c r="AG214" s="107"/>
      <c r="AH214" s="111"/>
      <c r="AI214" s="111"/>
      <c r="AJ214" s="131" t="str">
        <f t="shared" ca="1" si="1"/>
        <v/>
      </c>
      <c r="AK214" s="102"/>
      <c r="AL214" s="102"/>
      <c r="AM214" s="105"/>
      <c r="AN214" s="105"/>
      <c r="AO214" s="105"/>
      <c r="AP214" s="109"/>
      <c r="AQ214" s="112"/>
      <c r="AR214" s="102"/>
      <c r="AS214" s="102"/>
      <c r="AT214" s="113"/>
      <c r="AU214" s="108"/>
      <c r="AV214" s="107"/>
      <c r="AW214" s="109"/>
      <c r="AX214" s="115">
        <f t="shared" si="2"/>
        <v>1900</v>
      </c>
      <c r="AY214" s="115">
        <f t="shared" si="3"/>
        <v>1900</v>
      </c>
    </row>
    <row r="215" spans="1:51" ht="22.5" customHeight="1">
      <c r="A215" s="102"/>
      <c r="B215" s="102"/>
      <c r="C215" s="102"/>
      <c r="D215" s="102"/>
      <c r="E215" s="102"/>
      <c r="F215" s="102"/>
      <c r="G215" s="102"/>
      <c r="H215" s="102"/>
      <c r="I215" s="102"/>
      <c r="J215" s="102"/>
      <c r="K215" s="104"/>
      <c r="L215" s="63" t="str">
        <f t="shared" ca="1" si="0"/>
        <v/>
      </c>
      <c r="M215" s="104"/>
      <c r="N215" s="105"/>
      <c r="O215" s="104"/>
      <c r="P215" s="102"/>
      <c r="Q215" s="111"/>
      <c r="R215" s="106"/>
      <c r="S215" s="107"/>
      <c r="T215" s="102"/>
      <c r="U215" s="102"/>
      <c r="V215" s="102"/>
      <c r="W215" s="105"/>
      <c r="X215" s="105"/>
      <c r="Y215" s="105"/>
      <c r="Z215" s="105"/>
      <c r="AA215" s="105"/>
      <c r="AB215" s="105"/>
      <c r="AC215" s="109"/>
      <c r="AD215" s="107"/>
      <c r="AE215" s="102"/>
      <c r="AF215" s="109"/>
      <c r="AG215" s="107"/>
      <c r="AH215" s="111"/>
      <c r="AI215" s="111"/>
      <c r="AJ215" s="131" t="str">
        <f t="shared" ca="1" si="1"/>
        <v/>
      </c>
      <c r="AK215" s="102"/>
      <c r="AL215" s="102"/>
      <c r="AM215" s="105"/>
      <c r="AN215" s="105"/>
      <c r="AO215" s="105"/>
      <c r="AP215" s="109"/>
      <c r="AQ215" s="112"/>
      <c r="AR215" s="102"/>
      <c r="AS215" s="102"/>
      <c r="AT215" s="113"/>
      <c r="AU215" s="114"/>
      <c r="AV215" s="111"/>
      <c r="AW215" s="109"/>
      <c r="AX215" s="115">
        <f t="shared" si="2"/>
        <v>1900</v>
      </c>
      <c r="AY215" s="115">
        <f t="shared" si="3"/>
        <v>1900</v>
      </c>
    </row>
    <row r="216" spans="1:51" ht="22.5" customHeight="1">
      <c r="A216" s="102"/>
      <c r="B216" s="102"/>
      <c r="C216" s="102"/>
      <c r="D216" s="102"/>
      <c r="E216" s="102"/>
      <c r="F216" s="102"/>
      <c r="G216" s="102"/>
      <c r="H216" s="102"/>
      <c r="I216" s="102"/>
      <c r="J216" s="102"/>
      <c r="K216" s="104"/>
      <c r="L216" s="63" t="str">
        <f t="shared" ca="1" si="0"/>
        <v/>
      </c>
      <c r="M216" s="104"/>
      <c r="N216" s="105"/>
      <c r="O216" s="104"/>
      <c r="P216" s="102"/>
      <c r="Q216" s="111"/>
      <c r="R216" s="106"/>
      <c r="S216" s="107"/>
      <c r="T216" s="102"/>
      <c r="U216" s="102"/>
      <c r="V216" s="102"/>
      <c r="W216" s="105"/>
      <c r="X216" s="105"/>
      <c r="Y216" s="105"/>
      <c r="Z216" s="105"/>
      <c r="AA216" s="105"/>
      <c r="AB216" s="105"/>
      <c r="AC216" s="109"/>
      <c r="AD216" s="107"/>
      <c r="AE216" s="102"/>
      <c r="AF216" s="109"/>
      <c r="AG216" s="107"/>
      <c r="AH216" s="111"/>
      <c r="AI216" s="111"/>
      <c r="AJ216" s="131" t="str">
        <f t="shared" ca="1" si="1"/>
        <v/>
      </c>
      <c r="AK216" s="102"/>
      <c r="AL216" s="102"/>
      <c r="AM216" s="105"/>
      <c r="AN216" s="105"/>
      <c r="AO216" s="105"/>
      <c r="AP216" s="109"/>
      <c r="AQ216" s="112"/>
      <c r="AR216" s="102"/>
      <c r="AS216" s="102"/>
      <c r="AT216" s="113"/>
      <c r="AU216" s="108"/>
      <c r="AV216" s="107"/>
      <c r="AW216" s="109"/>
      <c r="AX216" s="115">
        <f t="shared" si="2"/>
        <v>1900</v>
      </c>
      <c r="AY216" s="115">
        <f t="shared" si="3"/>
        <v>1900</v>
      </c>
    </row>
    <row r="217" spans="1:51" ht="22.5" customHeight="1">
      <c r="A217" s="102"/>
      <c r="B217" s="102"/>
      <c r="C217" s="102"/>
      <c r="D217" s="102"/>
      <c r="E217" s="102"/>
      <c r="F217" s="102"/>
      <c r="G217" s="102"/>
      <c r="H217" s="102"/>
      <c r="I217" s="102"/>
      <c r="J217" s="102"/>
      <c r="K217" s="104"/>
      <c r="L217" s="63" t="str">
        <f t="shared" ca="1" si="0"/>
        <v/>
      </c>
      <c r="M217" s="104"/>
      <c r="N217" s="105"/>
      <c r="O217" s="104"/>
      <c r="P217" s="102"/>
      <c r="Q217" s="111"/>
      <c r="R217" s="106"/>
      <c r="S217" s="107"/>
      <c r="T217" s="102"/>
      <c r="U217" s="102"/>
      <c r="V217" s="102"/>
      <c r="W217" s="105"/>
      <c r="X217" s="105"/>
      <c r="Y217" s="105"/>
      <c r="Z217" s="105"/>
      <c r="AA217" s="105"/>
      <c r="AB217" s="105"/>
      <c r="AC217" s="105"/>
      <c r="AD217" s="108"/>
      <c r="AE217" s="102"/>
      <c r="AF217" s="109"/>
      <c r="AG217" s="107"/>
      <c r="AH217" s="111"/>
      <c r="AI217" s="111"/>
      <c r="AJ217" s="131" t="str">
        <f t="shared" ca="1" si="1"/>
        <v/>
      </c>
      <c r="AK217" s="102"/>
      <c r="AL217" s="102"/>
      <c r="AM217" s="105"/>
      <c r="AN217" s="105"/>
      <c r="AO217" s="105"/>
      <c r="AP217" s="109"/>
      <c r="AQ217" s="112"/>
      <c r="AR217" s="102"/>
      <c r="AS217" s="102"/>
      <c r="AT217" s="113"/>
      <c r="AU217" s="108"/>
      <c r="AV217" s="107"/>
      <c r="AW217" s="109"/>
      <c r="AX217" s="115">
        <f t="shared" si="2"/>
        <v>1900</v>
      </c>
      <c r="AY217" s="115">
        <f t="shared" si="3"/>
        <v>1900</v>
      </c>
    </row>
    <row r="218" spans="1:51" ht="22.5" customHeight="1">
      <c r="A218" s="102"/>
      <c r="B218" s="102"/>
      <c r="C218" s="115"/>
      <c r="D218" s="102"/>
      <c r="E218" s="102"/>
      <c r="F218" s="102"/>
      <c r="G218" s="102"/>
      <c r="H218" s="102"/>
      <c r="I218" s="102"/>
      <c r="J218" s="102"/>
      <c r="K218" s="104"/>
      <c r="L218" s="63" t="str">
        <f t="shared" ca="1" si="0"/>
        <v/>
      </c>
      <c r="M218" s="104"/>
      <c r="N218" s="105"/>
      <c r="O218" s="104"/>
      <c r="P218" s="102"/>
      <c r="Q218" s="111"/>
      <c r="R218" s="106"/>
      <c r="S218" s="107"/>
      <c r="T218" s="102"/>
      <c r="U218" s="102"/>
      <c r="V218" s="102"/>
      <c r="W218" s="105"/>
      <c r="X218" s="105"/>
      <c r="Y218" s="105"/>
      <c r="Z218" s="105"/>
      <c r="AA218" s="105"/>
      <c r="AB218" s="105"/>
      <c r="AC218" s="105"/>
      <c r="AD218" s="108"/>
      <c r="AE218" s="102"/>
      <c r="AF218" s="109"/>
      <c r="AG218" s="107"/>
      <c r="AH218" s="111"/>
      <c r="AI218" s="111"/>
      <c r="AJ218" s="131" t="str">
        <f t="shared" ca="1" si="1"/>
        <v/>
      </c>
      <c r="AK218" s="102"/>
      <c r="AL218" s="102"/>
      <c r="AM218" s="105"/>
      <c r="AN218" s="105"/>
      <c r="AO218" s="105"/>
      <c r="AP218" s="109"/>
      <c r="AQ218" s="112"/>
      <c r="AR218" s="102"/>
      <c r="AS218" s="102"/>
      <c r="AT218" s="113"/>
      <c r="AU218" s="108"/>
      <c r="AV218" s="107"/>
      <c r="AW218" s="109"/>
      <c r="AX218" s="115">
        <f t="shared" si="2"/>
        <v>1900</v>
      </c>
      <c r="AY218" s="115">
        <f t="shared" si="3"/>
        <v>1900</v>
      </c>
    </row>
    <row r="219" spans="1:51" ht="22.5" customHeight="1">
      <c r="A219" s="102"/>
      <c r="B219" s="102"/>
      <c r="C219" s="102"/>
      <c r="D219" s="102"/>
      <c r="E219" s="102"/>
      <c r="F219" s="102"/>
      <c r="G219" s="102"/>
      <c r="H219" s="102"/>
      <c r="I219" s="102"/>
      <c r="J219" s="102"/>
      <c r="K219" s="104"/>
      <c r="L219" s="63" t="str">
        <f t="shared" ca="1" si="0"/>
        <v/>
      </c>
      <c r="M219" s="104"/>
      <c r="N219" s="105"/>
      <c r="O219" s="104"/>
      <c r="P219" s="102"/>
      <c r="Q219" s="111"/>
      <c r="R219" s="106"/>
      <c r="S219" s="107"/>
      <c r="T219" s="102"/>
      <c r="U219" s="102"/>
      <c r="V219" s="102"/>
      <c r="W219" s="105"/>
      <c r="X219" s="105"/>
      <c r="Y219" s="105"/>
      <c r="Z219" s="105"/>
      <c r="AA219" s="105"/>
      <c r="AB219" s="105"/>
      <c r="AC219" s="105"/>
      <c r="AD219" s="108"/>
      <c r="AE219" s="102"/>
      <c r="AF219" s="109"/>
      <c r="AG219" s="107"/>
      <c r="AH219" s="111"/>
      <c r="AI219" s="111"/>
      <c r="AJ219" s="131" t="str">
        <f t="shared" ca="1" si="1"/>
        <v/>
      </c>
      <c r="AK219" s="102"/>
      <c r="AL219" s="102"/>
      <c r="AM219" s="105"/>
      <c r="AN219" s="105"/>
      <c r="AO219" s="105"/>
      <c r="AP219" s="109"/>
      <c r="AQ219" s="112"/>
      <c r="AR219" s="102"/>
      <c r="AS219" s="102"/>
      <c r="AT219" s="113"/>
      <c r="AU219" s="108"/>
      <c r="AV219" s="107"/>
      <c r="AW219" s="109"/>
      <c r="AX219" s="115">
        <f t="shared" si="2"/>
        <v>1900</v>
      </c>
      <c r="AY219" s="115">
        <f t="shared" si="3"/>
        <v>1900</v>
      </c>
    </row>
    <row r="220" spans="1:51" ht="22.5" customHeight="1">
      <c r="A220" s="102"/>
      <c r="B220" s="102"/>
      <c r="C220" s="102"/>
      <c r="D220" s="102"/>
      <c r="E220" s="102"/>
      <c r="F220" s="102"/>
      <c r="G220" s="102"/>
      <c r="H220" s="102"/>
      <c r="I220" s="102"/>
      <c r="J220" s="102"/>
      <c r="K220" s="104"/>
      <c r="L220" s="63" t="str">
        <f t="shared" ca="1" si="0"/>
        <v/>
      </c>
      <c r="M220" s="104"/>
      <c r="N220" s="105"/>
      <c r="O220" s="104"/>
      <c r="P220" s="102"/>
      <c r="Q220" s="111"/>
      <c r="R220" s="106"/>
      <c r="S220" s="107"/>
      <c r="T220" s="102"/>
      <c r="U220" s="102"/>
      <c r="V220" s="102"/>
      <c r="W220" s="105"/>
      <c r="X220" s="105"/>
      <c r="Y220" s="105"/>
      <c r="Z220" s="105"/>
      <c r="AA220" s="105"/>
      <c r="AB220" s="105"/>
      <c r="AC220" s="105"/>
      <c r="AD220" s="108"/>
      <c r="AE220" s="102"/>
      <c r="AF220" s="109"/>
      <c r="AG220" s="107"/>
      <c r="AH220" s="111"/>
      <c r="AI220" s="111"/>
      <c r="AJ220" s="131" t="str">
        <f t="shared" ca="1" si="1"/>
        <v/>
      </c>
      <c r="AK220" s="102"/>
      <c r="AL220" s="102"/>
      <c r="AM220" s="116"/>
      <c r="AN220" s="105"/>
      <c r="AO220" s="105"/>
      <c r="AP220" s="109"/>
      <c r="AQ220" s="112"/>
      <c r="AR220" s="102"/>
      <c r="AS220" s="102"/>
      <c r="AT220" s="113"/>
      <c r="AU220" s="108"/>
      <c r="AV220" s="107"/>
      <c r="AW220" s="109"/>
      <c r="AX220" s="115">
        <f t="shared" si="2"/>
        <v>1900</v>
      </c>
      <c r="AY220" s="115">
        <f t="shared" si="3"/>
        <v>1900</v>
      </c>
    </row>
    <row r="221" spans="1:51" ht="22.5" customHeight="1">
      <c r="A221" s="102"/>
      <c r="B221" s="102"/>
      <c r="C221" s="102"/>
      <c r="D221" s="102"/>
      <c r="E221" s="102"/>
      <c r="F221" s="102"/>
      <c r="G221" s="102"/>
      <c r="H221" s="102"/>
      <c r="I221" s="102"/>
      <c r="J221" s="102"/>
      <c r="K221" s="104"/>
      <c r="L221" s="63" t="str">
        <f t="shared" ca="1" si="0"/>
        <v/>
      </c>
      <c r="M221" s="104"/>
      <c r="N221" s="105"/>
      <c r="O221" s="104"/>
      <c r="P221" s="102"/>
      <c r="Q221" s="111"/>
      <c r="R221" s="106"/>
      <c r="S221" s="107"/>
      <c r="T221" s="102"/>
      <c r="U221" s="102"/>
      <c r="V221" s="102"/>
      <c r="W221" s="105"/>
      <c r="X221" s="105"/>
      <c r="Y221" s="105"/>
      <c r="Z221" s="105"/>
      <c r="AA221" s="105"/>
      <c r="AB221" s="105"/>
      <c r="AC221" s="105"/>
      <c r="AD221" s="108"/>
      <c r="AE221" s="102"/>
      <c r="AF221" s="109"/>
      <c r="AG221" s="107"/>
      <c r="AH221" s="111"/>
      <c r="AI221" s="111"/>
      <c r="AJ221" s="131" t="str">
        <f t="shared" ca="1" si="1"/>
        <v/>
      </c>
      <c r="AK221" s="102"/>
      <c r="AL221" s="102"/>
      <c r="AM221" s="105"/>
      <c r="AN221" s="105"/>
      <c r="AO221" s="105"/>
      <c r="AP221" s="109"/>
      <c r="AQ221" s="112"/>
      <c r="AR221" s="102"/>
      <c r="AS221" s="102"/>
      <c r="AT221" s="113"/>
      <c r="AU221" s="108"/>
      <c r="AV221" s="107"/>
      <c r="AW221" s="109"/>
      <c r="AX221" s="115">
        <f t="shared" si="2"/>
        <v>1900</v>
      </c>
      <c r="AY221" s="115">
        <f t="shared" si="3"/>
        <v>1900</v>
      </c>
    </row>
    <row r="222" spans="1:51" ht="22.5" customHeight="1">
      <c r="A222" s="102"/>
      <c r="B222" s="102"/>
      <c r="C222" s="102"/>
      <c r="D222" s="102"/>
      <c r="E222" s="102"/>
      <c r="F222" s="102"/>
      <c r="G222" s="102"/>
      <c r="H222" s="102"/>
      <c r="I222" s="102"/>
      <c r="J222" s="102"/>
      <c r="K222" s="104"/>
      <c r="L222" s="63" t="str">
        <f t="shared" ca="1" si="0"/>
        <v/>
      </c>
      <c r="M222" s="104"/>
      <c r="N222" s="105"/>
      <c r="O222" s="104"/>
      <c r="P222" s="102"/>
      <c r="Q222" s="111"/>
      <c r="R222" s="106"/>
      <c r="S222" s="107"/>
      <c r="T222" s="102"/>
      <c r="U222" s="102"/>
      <c r="V222" s="102"/>
      <c r="W222" s="105"/>
      <c r="X222" s="105"/>
      <c r="Y222" s="105"/>
      <c r="Z222" s="105"/>
      <c r="AA222" s="105"/>
      <c r="AB222" s="105"/>
      <c r="AC222" s="109"/>
      <c r="AD222" s="107"/>
      <c r="AE222" s="102"/>
      <c r="AF222" s="109"/>
      <c r="AG222" s="107"/>
      <c r="AH222" s="111"/>
      <c r="AI222" s="111"/>
      <c r="AJ222" s="131" t="str">
        <f t="shared" ca="1" si="1"/>
        <v/>
      </c>
      <c r="AK222" s="102"/>
      <c r="AL222" s="102"/>
      <c r="AM222" s="105"/>
      <c r="AN222" s="105"/>
      <c r="AO222" s="105"/>
      <c r="AP222" s="109"/>
      <c r="AQ222" s="112"/>
      <c r="AR222" s="102"/>
      <c r="AS222" s="102"/>
      <c r="AT222" s="113"/>
      <c r="AU222" s="108"/>
      <c r="AV222" s="107"/>
      <c r="AW222" s="109"/>
      <c r="AX222" s="115">
        <f t="shared" si="2"/>
        <v>1900</v>
      </c>
      <c r="AY222" s="115">
        <f t="shared" si="3"/>
        <v>1900</v>
      </c>
    </row>
    <row r="223" spans="1:51" ht="22.5" customHeight="1">
      <c r="A223" s="102"/>
      <c r="B223" s="102"/>
      <c r="C223" s="102"/>
      <c r="D223" s="102"/>
      <c r="E223" s="102"/>
      <c r="F223" s="102"/>
      <c r="G223" s="102"/>
      <c r="H223" s="102"/>
      <c r="I223" s="102"/>
      <c r="J223" s="102"/>
      <c r="K223" s="104"/>
      <c r="L223" s="63" t="str">
        <f t="shared" ca="1" si="0"/>
        <v/>
      </c>
      <c r="M223" s="104"/>
      <c r="N223" s="105"/>
      <c r="O223" s="104"/>
      <c r="P223" s="102"/>
      <c r="Q223" s="111"/>
      <c r="R223" s="106"/>
      <c r="S223" s="107"/>
      <c r="T223" s="102"/>
      <c r="U223" s="102"/>
      <c r="V223" s="102"/>
      <c r="W223" s="105"/>
      <c r="X223" s="105"/>
      <c r="Y223" s="105"/>
      <c r="Z223" s="105"/>
      <c r="AA223" s="105"/>
      <c r="AB223" s="105"/>
      <c r="AC223" s="109"/>
      <c r="AD223" s="107"/>
      <c r="AE223" s="102"/>
      <c r="AF223" s="109"/>
      <c r="AG223" s="107"/>
      <c r="AH223" s="111"/>
      <c r="AI223" s="111"/>
      <c r="AJ223" s="131" t="str">
        <f t="shared" ca="1" si="1"/>
        <v/>
      </c>
      <c r="AK223" s="102"/>
      <c r="AL223" s="102"/>
      <c r="AM223" s="105"/>
      <c r="AN223" s="105"/>
      <c r="AO223" s="105"/>
      <c r="AP223" s="109"/>
      <c r="AQ223" s="112"/>
      <c r="AR223" s="102"/>
      <c r="AS223" s="102"/>
      <c r="AT223" s="113"/>
      <c r="AU223" s="108"/>
      <c r="AV223" s="107"/>
      <c r="AW223" s="109"/>
      <c r="AX223" s="115">
        <f t="shared" si="2"/>
        <v>1900</v>
      </c>
      <c r="AY223" s="115">
        <f t="shared" si="3"/>
        <v>1900</v>
      </c>
    </row>
    <row r="224" spans="1:51" ht="22.5" customHeight="1">
      <c r="A224" s="102"/>
      <c r="B224" s="102"/>
      <c r="C224" s="102"/>
      <c r="D224" s="102"/>
      <c r="E224" s="102"/>
      <c r="F224" s="102"/>
      <c r="G224" s="102"/>
      <c r="H224" s="102"/>
      <c r="I224" s="102"/>
      <c r="J224" s="102"/>
      <c r="K224" s="104"/>
      <c r="L224" s="63" t="str">
        <f t="shared" ca="1" si="0"/>
        <v/>
      </c>
      <c r="M224" s="104"/>
      <c r="N224" s="105"/>
      <c r="O224" s="104"/>
      <c r="P224" s="102"/>
      <c r="Q224" s="111"/>
      <c r="R224" s="106"/>
      <c r="S224" s="107"/>
      <c r="T224" s="102"/>
      <c r="U224" s="102"/>
      <c r="V224" s="102"/>
      <c r="W224" s="105"/>
      <c r="X224" s="105"/>
      <c r="Y224" s="105"/>
      <c r="Z224" s="105"/>
      <c r="AA224" s="105"/>
      <c r="AB224" s="105"/>
      <c r="AC224" s="105"/>
      <c r="AD224" s="108"/>
      <c r="AE224" s="102"/>
      <c r="AF224" s="109"/>
      <c r="AG224" s="107"/>
      <c r="AH224" s="111"/>
      <c r="AI224" s="111"/>
      <c r="AJ224" s="131" t="str">
        <f t="shared" ca="1" si="1"/>
        <v/>
      </c>
      <c r="AK224" s="102"/>
      <c r="AL224" s="102"/>
      <c r="AM224" s="105"/>
      <c r="AN224" s="105"/>
      <c r="AO224" s="105"/>
      <c r="AP224" s="109"/>
      <c r="AQ224" s="112"/>
      <c r="AR224" s="102"/>
      <c r="AS224" s="102"/>
      <c r="AT224" s="113"/>
      <c r="AU224" s="108"/>
      <c r="AV224" s="107"/>
      <c r="AW224" s="109"/>
      <c r="AX224" s="115">
        <f t="shared" si="2"/>
        <v>1900</v>
      </c>
      <c r="AY224" s="115">
        <f t="shared" si="3"/>
        <v>1900</v>
      </c>
    </row>
    <row r="225" spans="1:51" ht="22.5" customHeight="1">
      <c r="A225" s="102"/>
      <c r="B225" s="102"/>
      <c r="C225" s="102"/>
      <c r="D225" s="102"/>
      <c r="E225" s="102"/>
      <c r="F225" s="102"/>
      <c r="G225" s="102"/>
      <c r="H225" s="102"/>
      <c r="I225" s="102"/>
      <c r="J225" s="102"/>
      <c r="K225" s="104"/>
      <c r="L225" s="63" t="str">
        <f t="shared" ca="1" si="0"/>
        <v/>
      </c>
      <c r="M225" s="104"/>
      <c r="N225" s="105"/>
      <c r="O225" s="104"/>
      <c r="P225" s="102"/>
      <c r="Q225" s="111"/>
      <c r="R225" s="106"/>
      <c r="S225" s="107"/>
      <c r="T225" s="102"/>
      <c r="U225" s="102"/>
      <c r="V225" s="102"/>
      <c r="W225" s="105"/>
      <c r="X225" s="105"/>
      <c r="Y225" s="105"/>
      <c r="Z225" s="105"/>
      <c r="AA225" s="105"/>
      <c r="AB225" s="105"/>
      <c r="AC225" s="105"/>
      <c r="AD225" s="108"/>
      <c r="AE225" s="102"/>
      <c r="AF225" s="109"/>
      <c r="AG225" s="107"/>
      <c r="AH225" s="111"/>
      <c r="AI225" s="111"/>
      <c r="AJ225" s="131" t="str">
        <f t="shared" ca="1" si="1"/>
        <v/>
      </c>
      <c r="AK225" s="102"/>
      <c r="AL225" s="102"/>
      <c r="AM225" s="105"/>
      <c r="AN225" s="105"/>
      <c r="AO225" s="105"/>
      <c r="AP225" s="109"/>
      <c r="AQ225" s="112"/>
      <c r="AR225" s="102"/>
      <c r="AS225" s="102"/>
      <c r="AT225" s="113"/>
      <c r="AU225" s="108"/>
      <c r="AV225" s="107"/>
      <c r="AW225" s="109"/>
      <c r="AX225" s="115">
        <f t="shared" si="2"/>
        <v>1900</v>
      </c>
      <c r="AY225" s="115">
        <f t="shared" si="3"/>
        <v>1900</v>
      </c>
    </row>
    <row r="226" spans="1:51" ht="22.5" customHeight="1">
      <c r="A226" s="102"/>
      <c r="B226" s="102"/>
      <c r="C226" s="102"/>
      <c r="D226" s="102"/>
      <c r="E226" s="102"/>
      <c r="F226" s="102"/>
      <c r="G226" s="102"/>
      <c r="H226" s="102"/>
      <c r="I226" s="102"/>
      <c r="J226" s="102"/>
      <c r="K226" s="104"/>
      <c r="L226" s="63" t="str">
        <f t="shared" ca="1" si="0"/>
        <v/>
      </c>
      <c r="M226" s="104"/>
      <c r="N226" s="105"/>
      <c r="O226" s="104"/>
      <c r="P226" s="102"/>
      <c r="Q226" s="111"/>
      <c r="R226" s="106"/>
      <c r="S226" s="107"/>
      <c r="T226" s="102"/>
      <c r="U226" s="102"/>
      <c r="V226" s="102"/>
      <c r="W226" s="105"/>
      <c r="X226" s="105"/>
      <c r="Y226" s="105"/>
      <c r="Z226" s="105"/>
      <c r="AA226" s="105"/>
      <c r="AB226" s="105"/>
      <c r="AC226" s="105"/>
      <c r="AD226" s="108"/>
      <c r="AE226" s="102"/>
      <c r="AF226" s="109"/>
      <c r="AG226" s="107"/>
      <c r="AH226" s="111"/>
      <c r="AI226" s="111"/>
      <c r="AJ226" s="131" t="str">
        <f t="shared" ca="1" si="1"/>
        <v/>
      </c>
      <c r="AK226" s="102"/>
      <c r="AL226" s="102"/>
      <c r="AM226" s="105"/>
      <c r="AN226" s="105"/>
      <c r="AO226" s="105"/>
      <c r="AP226" s="109"/>
      <c r="AQ226" s="112"/>
      <c r="AR226" s="102"/>
      <c r="AS226" s="102"/>
      <c r="AT226" s="113"/>
      <c r="AU226" s="108"/>
      <c r="AV226" s="107"/>
      <c r="AW226" s="109"/>
      <c r="AX226" s="115">
        <f t="shared" si="2"/>
        <v>1900</v>
      </c>
      <c r="AY226" s="115">
        <f t="shared" si="3"/>
        <v>1900</v>
      </c>
    </row>
    <row r="227" spans="1:51" ht="22.5" customHeight="1">
      <c r="A227" s="102"/>
      <c r="B227" s="102"/>
      <c r="C227" s="102"/>
      <c r="D227" s="102"/>
      <c r="E227" s="102"/>
      <c r="F227" s="102"/>
      <c r="G227" s="102"/>
      <c r="H227" s="102"/>
      <c r="I227" s="102"/>
      <c r="J227" s="102"/>
      <c r="K227" s="104"/>
      <c r="L227" s="63" t="str">
        <f t="shared" ca="1" si="0"/>
        <v/>
      </c>
      <c r="M227" s="104"/>
      <c r="N227" s="105"/>
      <c r="O227" s="104"/>
      <c r="P227" s="102"/>
      <c r="Q227" s="111"/>
      <c r="R227" s="106"/>
      <c r="S227" s="107"/>
      <c r="T227" s="102"/>
      <c r="U227" s="102"/>
      <c r="V227" s="102"/>
      <c r="W227" s="105"/>
      <c r="X227" s="105"/>
      <c r="Y227" s="105"/>
      <c r="Z227" s="105"/>
      <c r="AA227" s="105"/>
      <c r="AB227" s="105"/>
      <c r="AC227" s="105"/>
      <c r="AD227" s="108"/>
      <c r="AE227" s="102"/>
      <c r="AF227" s="109"/>
      <c r="AG227" s="107"/>
      <c r="AH227" s="111"/>
      <c r="AI227" s="111"/>
      <c r="AJ227" s="131" t="str">
        <f t="shared" ca="1" si="1"/>
        <v/>
      </c>
      <c r="AK227" s="102"/>
      <c r="AL227" s="102"/>
      <c r="AM227" s="105"/>
      <c r="AN227" s="105"/>
      <c r="AO227" s="105"/>
      <c r="AP227" s="109"/>
      <c r="AQ227" s="112"/>
      <c r="AR227" s="102"/>
      <c r="AS227" s="102"/>
      <c r="AT227" s="113"/>
      <c r="AU227" s="108"/>
      <c r="AV227" s="107"/>
      <c r="AW227" s="109"/>
      <c r="AX227" s="115">
        <f t="shared" si="2"/>
        <v>1900</v>
      </c>
      <c r="AY227" s="115">
        <f t="shared" si="3"/>
        <v>1900</v>
      </c>
    </row>
    <row r="228" spans="1:51" ht="22.5" customHeight="1">
      <c r="A228" s="102"/>
      <c r="B228" s="102"/>
      <c r="C228" s="102"/>
      <c r="D228" s="102"/>
      <c r="E228" s="102"/>
      <c r="F228" s="102"/>
      <c r="G228" s="102"/>
      <c r="H228" s="102"/>
      <c r="I228" s="102"/>
      <c r="J228" s="102"/>
      <c r="K228" s="104"/>
      <c r="L228" s="63" t="str">
        <f t="shared" ca="1" si="0"/>
        <v/>
      </c>
      <c r="M228" s="104"/>
      <c r="N228" s="105"/>
      <c r="O228" s="104"/>
      <c r="P228" s="102"/>
      <c r="Q228" s="111"/>
      <c r="R228" s="106"/>
      <c r="S228" s="107"/>
      <c r="T228" s="102"/>
      <c r="U228" s="102"/>
      <c r="V228" s="102"/>
      <c r="W228" s="105"/>
      <c r="X228" s="105"/>
      <c r="Y228" s="105"/>
      <c r="Z228" s="105"/>
      <c r="AA228" s="105"/>
      <c r="AB228" s="105"/>
      <c r="AC228" s="105"/>
      <c r="AD228" s="108"/>
      <c r="AE228" s="102"/>
      <c r="AF228" s="109"/>
      <c r="AG228" s="107"/>
      <c r="AH228" s="111"/>
      <c r="AI228" s="111"/>
      <c r="AJ228" s="131" t="str">
        <f t="shared" ca="1" si="1"/>
        <v/>
      </c>
      <c r="AK228" s="102"/>
      <c r="AL228" s="102"/>
      <c r="AM228" s="105"/>
      <c r="AN228" s="105"/>
      <c r="AO228" s="105"/>
      <c r="AP228" s="109"/>
      <c r="AQ228" s="112"/>
      <c r="AR228" s="102"/>
      <c r="AS228" s="102"/>
      <c r="AT228" s="113"/>
      <c r="AU228" s="108"/>
      <c r="AV228" s="107"/>
      <c r="AW228" s="109"/>
      <c r="AX228" s="115">
        <f t="shared" si="2"/>
        <v>1900</v>
      </c>
      <c r="AY228" s="115">
        <f t="shared" si="3"/>
        <v>1900</v>
      </c>
    </row>
    <row r="229" spans="1:51" ht="22.5" customHeight="1">
      <c r="A229" s="102"/>
      <c r="B229" s="102"/>
      <c r="C229" s="102"/>
      <c r="D229" s="102"/>
      <c r="E229" s="102"/>
      <c r="F229" s="102"/>
      <c r="G229" s="102"/>
      <c r="H229" s="102"/>
      <c r="I229" s="102"/>
      <c r="J229" s="102"/>
      <c r="K229" s="104"/>
      <c r="L229" s="63" t="str">
        <f t="shared" ca="1" si="0"/>
        <v/>
      </c>
      <c r="M229" s="104"/>
      <c r="N229" s="105"/>
      <c r="O229" s="104"/>
      <c r="P229" s="102"/>
      <c r="Q229" s="111"/>
      <c r="R229" s="106"/>
      <c r="S229" s="107"/>
      <c r="T229" s="102"/>
      <c r="U229" s="102"/>
      <c r="V229" s="102"/>
      <c r="W229" s="105"/>
      <c r="X229" s="105"/>
      <c r="Y229" s="105"/>
      <c r="Z229" s="105"/>
      <c r="AA229" s="105"/>
      <c r="AB229" s="105"/>
      <c r="AC229" s="109"/>
      <c r="AD229" s="107"/>
      <c r="AE229" s="102"/>
      <c r="AF229" s="109"/>
      <c r="AG229" s="107"/>
      <c r="AH229" s="111"/>
      <c r="AI229" s="111"/>
      <c r="AJ229" s="131" t="str">
        <f t="shared" ca="1" si="1"/>
        <v/>
      </c>
      <c r="AK229" s="102"/>
      <c r="AL229" s="102"/>
      <c r="AM229" s="105"/>
      <c r="AN229" s="105"/>
      <c r="AO229" s="105"/>
      <c r="AP229" s="109"/>
      <c r="AQ229" s="112"/>
      <c r="AR229" s="102"/>
      <c r="AS229" s="102"/>
      <c r="AT229" s="113"/>
      <c r="AU229" s="108"/>
      <c r="AV229" s="107"/>
      <c r="AW229" s="109"/>
      <c r="AX229" s="115">
        <f t="shared" si="2"/>
        <v>1900</v>
      </c>
      <c r="AY229" s="115">
        <f t="shared" si="3"/>
        <v>1900</v>
      </c>
    </row>
    <row r="230" spans="1:51" ht="22.5" customHeight="1">
      <c r="A230" s="102"/>
      <c r="B230" s="102"/>
      <c r="C230" s="102"/>
      <c r="D230" s="102"/>
      <c r="E230" s="102"/>
      <c r="F230" s="102"/>
      <c r="G230" s="102"/>
      <c r="H230" s="102"/>
      <c r="I230" s="102"/>
      <c r="J230" s="102"/>
      <c r="K230" s="104"/>
      <c r="L230" s="63" t="str">
        <f t="shared" ca="1" si="0"/>
        <v/>
      </c>
      <c r="M230" s="104"/>
      <c r="N230" s="105"/>
      <c r="O230" s="104"/>
      <c r="P230" s="102"/>
      <c r="Q230" s="111"/>
      <c r="R230" s="106"/>
      <c r="S230" s="107"/>
      <c r="T230" s="102"/>
      <c r="U230" s="102"/>
      <c r="V230" s="102"/>
      <c r="W230" s="105"/>
      <c r="X230" s="105"/>
      <c r="Y230" s="105"/>
      <c r="Z230" s="105"/>
      <c r="AA230" s="105"/>
      <c r="AB230" s="105"/>
      <c r="AC230" s="105"/>
      <c r="AD230" s="108"/>
      <c r="AE230" s="102"/>
      <c r="AF230" s="109"/>
      <c r="AG230" s="107"/>
      <c r="AH230" s="111"/>
      <c r="AI230" s="111"/>
      <c r="AJ230" s="131" t="str">
        <f t="shared" ca="1" si="1"/>
        <v/>
      </c>
      <c r="AK230" s="102"/>
      <c r="AL230" s="102"/>
      <c r="AM230" s="105"/>
      <c r="AN230" s="105"/>
      <c r="AO230" s="105"/>
      <c r="AP230" s="109"/>
      <c r="AQ230" s="112"/>
      <c r="AR230" s="102"/>
      <c r="AS230" s="102"/>
      <c r="AT230" s="113"/>
      <c r="AU230" s="108"/>
      <c r="AV230" s="107"/>
      <c r="AW230" s="109"/>
      <c r="AX230" s="115">
        <f t="shared" si="2"/>
        <v>1900</v>
      </c>
      <c r="AY230" s="115">
        <f t="shared" si="3"/>
        <v>1900</v>
      </c>
    </row>
    <row r="231" spans="1:51" ht="22.5" customHeight="1">
      <c r="A231" s="102"/>
      <c r="B231" s="102"/>
      <c r="C231" s="102"/>
      <c r="D231" s="102"/>
      <c r="E231" s="102"/>
      <c r="F231" s="102"/>
      <c r="G231" s="102"/>
      <c r="H231" s="102"/>
      <c r="I231" s="102"/>
      <c r="J231" s="102"/>
      <c r="K231" s="104"/>
      <c r="L231" s="63" t="str">
        <f t="shared" ca="1" si="0"/>
        <v/>
      </c>
      <c r="M231" s="104"/>
      <c r="N231" s="105"/>
      <c r="O231" s="104"/>
      <c r="P231" s="102"/>
      <c r="Q231" s="111"/>
      <c r="R231" s="106"/>
      <c r="S231" s="107"/>
      <c r="T231" s="102"/>
      <c r="U231" s="102"/>
      <c r="V231" s="102"/>
      <c r="W231" s="105"/>
      <c r="X231" s="105"/>
      <c r="Y231" s="105"/>
      <c r="Z231" s="105"/>
      <c r="AA231" s="105"/>
      <c r="AB231" s="105"/>
      <c r="AC231" s="105"/>
      <c r="AD231" s="108"/>
      <c r="AE231" s="102"/>
      <c r="AF231" s="109"/>
      <c r="AG231" s="107"/>
      <c r="AH231" s="111"/>
      <c r="AI231" s="111"/>
      <c r="AJ231" s="131" t="str">
        <f t="shared" ca="1" si="1"/>
        <v/>
      </c>
      <c r="AK231" s="102"/>
      <c r="AL231" s="102"/>
      <c r="AM231" s="105"/>
      <c r="AN231" s="105"/>
      <c r="AO231" s="105"/>
      <c r="AP231" s="109"/>
      <c r="AQ231" s="112"/>
      <c r="AR231" s="102"/>
      <c r="AS231" s="102"/>
      <c r="AT231" s="113"/>
      <c r="AU231" s="108"/>
      <c r="AV231" s="107"/>
      <c r="AW231" s="109"/>
      <c r="AX231" s="115">
        <f t="shared" si="2"/>
        <v>1900</v>
      </c>
      <c r="AY231" s="115">
        <f t="shared" si="3"/>
        <v>1900</v>
      </c>
    </row>
    <row r="232" spans="1:51" ht="22.5" customHeight="1">
      <c r="A232" s="102"/>
      <c r="B232" s="102"/>
      <c r="C232" s="102"/>
      <c r="D232" s="102"/>
      <c r="E232" s="102"/>
      <c r="F232" s="102"/>
      <c r="G232" s="102"/>
      <c r="H232" s="102"/>
      <c r="I232" s="102"/>
      <c r="J232" s="102"/>
      <c r="K232" s="104"/>
      <c r="L232" s="63" t="str">
        <f t="shared" ca="1" si="0"/>
        <v/>
      </c>
      <c r="M232" s="104"/>
      <c r="N232" s="105"/>
      <c r="O232" s="104"/>
      <c r="P232" s="102"/>
      <c r="Q232" s="111"/>
      <c r="R232" s="106"/>
      <c r="S232" s="107"/>
      <c r="T232" s="102"/>
      <c r="U232" s="102"/>
      <c r="V232" s="102"/>
      <c r="W232" s="105"/>
      <c r="X232" s="105"/>
      <c r="Y232" s="105"/>
      <c r="Z232" s="105"/>
      <c r="AA232" s="105"/>
      <c r="AB232" s="105"/>
      <c r="AC232" s="105"/>
      <c r="AD232" s="108"/>
      <c r="AE232" s="102"/>
      <c r="AF232" s="109"/>
      <c r="AG232" s="107"/>
      <c r="AH232" s="111"/>
      <c r="AI232" s="111"/>
      <c r="AJ232" s="131" t="str">
        <f t="shared" ca="1" si="1"/>
        <v/>
      </c>
      <c r="AK232" s="102"/>
      <c r="AL232" s="102"/>
      <c r="AM232" s="105"/>
      <c r="AN232" s="105"/>
      <c r="AO232" s="105"/>
      <c r="AP232" s="109"/>
      <c r="AQ232" s="112"/>
      <c r="AR232" s="102"/>
      <c r="AS232" s="102"/>
      <c r="AT232" s="113"/>
      <c r="AU232" s="108"/>
      <c r="AV232" s="107"/>
      <c r="AW232" s="109"/>
      <c r="AX232" s="115">
        <f t="shared" si="2"/>
        <v>1900</v>
      </c>
      <c r="AY232" s="115">
        <f t="shared" si="3"/>
        <v>1900</v>
      </c>
    </row>
    <row r="233" spans="1:51" ht="22.5" customHeight="1">
      <c r="A233" s="102"/>
      <c r="B233" s="102"/>
      <c r="C233" s="102"/>
      <c r="D233" s="102"/>
      <c r="E233" s="102"/>
      <c r="F233" s="102"/>
      <c r="G233" s="102"/>
      <c r="H233" s="102"/>
      <c r="I233" s="102"/>
      <c r="J233" s="102"/>
      <c r="K233" s="104"/>
      <c r="L233" s="63" t="str">
        <f t="shared" ca="1" si="0"/>
        <v/>
      </c>
      <c r="M233" s="104"/>
      <c r="N233" s="105"/>
      <c r="O233" s="104"/>
      <c r="P233" s="102"/>
      <c r="Q233" s="111"/>
      <c r="R233" s="106"/>
      <c r="S233" s="107"/>
      <c r="T233" s="102"/>
      <c r="U233" s="102"/>
      <c r="V233" s="102"/>
      <c r="W233" s="105"/>
      <c r="X233" s="105"/>
      <c r="Y233" s="105"/>
      <c r="Z233" s="105"/>
      <c r="AA233" s="105"/>
      <c r="AB233" s="105"/>
      <c r="AC233" s="105"/>
      <c r="AD233" s="108"/>
      <c r="AE233" s="102"/>
      <c r="AF233" s="109"/>
      <c r="AG233" s="107"/>
      <c r="AH233" s="111"/>
      <c r="AI233" s="111"/>
      <c r="AJ233" s="131" t="str">
        <f t="shared" ca="1" si="1"/>
        <v/>
      </c>
      <c r="AK233" s="102"/>
      <c r="AL233" s="102"/>
      <c r="AM233" s="105"/>
      <c r="AN233" s="105"/>
      <c r="AO233" s="105"/>
      <c r="AP233" s="109"/>
      <c r="AQ233" s="112"/>
      <c r="AR233" s="102"/>
      <c r="AS233" s="102"/>
      <c r="AT233" s="113"/>
      <c r="AU233" s="108"/>
      <c r="AV233" s="107"/>
      <c r="AW233" s="109"/>
      <c r="AX233" s="115">
        <f t="shared" si="2"/>
        <v>1900</v>
      </c>
      <c r="AY233" s="115">
        <f t="shared" si="3"/>
        <v>1900</v>
      </c>
    </row>
    <row r="234" spans="1:51" ht="22.5" customHeight="1">
      <c r="A234" s="102"/>
      <c r="B234" s="102"/>
      <c r="C234" s="102"/>
      <c r="D234" s="102"/>
      <c r="E234" s="102"/>
      <c r="F234" s="102"/>
      <c r="G234" s="102"/>
      <c r="H234" s="102"/>
      <c r="I234" s="102"/>
      <c r="J234" s="102"/>
      <c r="K234" s="104"/>
      <c r="L234" s="63" t="str">
        <f t="shared" ca="1" si="0"/>
        <v/>
      </c>
      <c r="M234" s="104"/>
      <c r="N234" s="105"/>
      <c r="O234" s="104"/>
      <c r="P234" s="102"/>
      <c r="Q234" s="111"/>
      <c r="R234" s="106"/>
      <c r="S234" s="107"/>
      <c r="T234" s="102"/>
      <c r="U234" s="102"/>
      <c r="V234" s="102"/>
      <c r="W234" s="105"/>
      <c r="X234" s="105"/>
      <c r="Y234" s="105"/>
      <c r="Z234" s="105"/>
      <c r="AA234" s="105"/>
      <c r="AB234" s="105"/>
      <c r="AC234" s="105"/>
      <c r="AD234" s="108"/>
      <c r="AE234" s="102"/>
      <c r="AF234" s="109"/>
      <c r="AG234" s="107"/>
      <c r="AH234" s="111"/>
      <c r="AI234" s="111"/>
      <c r="AJ234" s="131" t="str">
        <f t="shared" ca="1" si="1"/>
        <v/>
      </c>
      <c r="AK234" s="102"/>
      <c r="AL234" s="102"/>
      <c r="AM234" s="105"/>
      <c r="AN234" s="105"/>
      <c r="AO234" s="105"/>
      <c r="AP234" s="109"/>
      <c r="AQ234" s="112"/>
      <c r="AR234" s="102"/>
      <c r="AS234" s="102"/>
      <c r="AT234" s="113"/>
      <c r="AU234" s="108"/>
      <c r="AV234" s="107"/>
      <c r="AW234" s="109"/>
      <c r="AX234" s="115">
        <f t="shared" si="2"/>
        <v>1900</v>
      </c>
      <c r="AY234" s="115">
        <f t="shared" si="3"/>
        <v>1900</v>
      </c>
    </row>
    <row r="235" spans="1:51" ht="22.5" customHeight="1">
      <c r="A235" s="102"/>
      <c r="B235" s="102"/>
      <c r="C235" s="102"/>
      <c r="D235" s="102"/>
      <c r="E235" s="102"/>
      <c r="F235" s="102"/>
      <c r="G235" s="102"/>
      <c r="H235" s="102"/>
      <c r="I235" s="102"/>
      <c r="J235" s="102"/>
      <c r="K235" s="104"/>
      <c r="L235" s="63" t="str">
        <f t="shared" ca="1" si="0"/>
        <v/>
      </c>
      <c r="M235" s="104"/>
      <c r="N235" s="105"/>
      <c r="O235" s="104"/>
      <c r="P235" s="102"/>
      <c r="Q235" s="111"/>
      <c r="R235" s="118"/>
      <c r="S235" s="107"/>
      <c r="T235" s="102"/>
      <c r="U235" s="102"/>
      <c r="V235" s="102"/>
      <c r="W235" s="105"/>
      <c r="X235" s="105"/>
      <c r="Y235" s="105"/>
      <c r="Z235" s="105"/>
      <c r="AA235" s="105"/>
      <c r="AB235" s="105"/>
      <c r="AC235" s="109"/>
      <c r="AD235" s="107"/>
      <c r="AE235" s="102"/>
      <c r="AF235" s="109"/>
      <c r="AG235" s="107"/>
      <c r="AH235" s="111"/>
      <c r="AI235" s="111"/>
      <c r="AJ235" s="131" t="str">
        <f t="shared" ca="1" si="1"/>
        <v/>
      </c>
      <c r="AK235" s="102"/>
      <c r="AL235" s="102"/>
      <c r="AM235" s="105"/>
      <c r="AN235" s="105"/>
      <c r="AO235" s="105"/>
      <c r="AP235" s="109"/>
      <c r="AQ235" s="112"/>
      <c r="AR235" s="102"/>
      <c r="AS235" s="102"/>
      <c r="AT235" s="113"/>
      <c r="AU235" s="108"/>
      <c r="AV235" s="107"/>
      <c r="AW235" s="109"/>
      <c r="AX235" s="115">
        <f t="shared" si="2"/>
        <v>1900</v>
      </c>
      <c r="AY235" s="115">
        <f t="shared" si="3"/>
        <v>1900</v>
      </c>
    </row>
    <row r="236" spans="1:51" ht="22.5" customHeight="1">
      <c r="A236" s="102"/>
      <c r="B236" s="102"/>
      <c r="C236" s="102"/>
      <c r="D236" s="102"/>
      <c r="E236" s="102"/>
      <c r="F236" s="102"/>
      <c r="G236" s="102"/>
      <c r="H236" s="102"/>
      <c r="I236" s="102"/>
      <c r="J236" s="102"/>
      <c r="K236" s="104"/>
      <c r="L236" s="63" t="str">
        <f t="shared" ca="1" si="0"/>
        <v/>
      </c>
      <c r="M236" s="104"/>
      <c r="N236" s="105"/>
      <c r="O236" s="104"/>
      <c r="P236" s="102"/>
      <c r="Q236" s="119"/>
      <c r="R236" s="118"/>
      <c r="S236" s="107"/>
      <c r="T236" s="102"/>
      <c r="U236" s="102"/>
      <c r="V236" s="102"/>
      <c r="W236" s="105"/>
      <c r="X236" s="105"/>
      <c r="Y236" s="105"/>
      <c r="Z236" s="105"/>
      <c r="AA236" s="105"/>
      <c r="AB236" s="105"/>
      <c r="AC236" s="109"/>
      <c r="AD236" s="107"/>
      <c r="AE236" s="102"/>
      <c r="AF236" s="109"/>
      <c r="AG236" s="120"/>
      <c r="AH236" s="119"/>
      <c r="AI236" s="111"/>
      <c r="AJ236" s="131" t="str">
        <f t="shared" ca="1" si="1"/>
        <v/>
      </c>
      <c r="AK236" s="102"/>
      <c r="AL236" s="102"/>
      <c r="AM236" s="105"/>
      <c r="AN236" s="105"/>
      <c r="AO236" s="105"/>
      <c r="AP236" s="109"/>
      <c r="AQ236" s="112"/>
      <c r="AR236" s="102"/>
      <c r="AS236" s="102"/>
      <c r="AT236" s="113"/>
      <c r="AU236" s="108"/>
      <c r="AV236" s="107"/>
      <c r="AW236" s="109"/>
      <c r="AX236" s="115">
        <f t="shared" si="2"/>
        <v>1900</v>
      </c>
      <c r="AY236" s="115">
        <f t="shared" si="3"/>
        <v>1900</v>
      </c>
    </row>
    <row r="237" spans="1:51" ht="22.5" customHeight="1">
      <c r="A237" s="102"/>
      <c r="B237" s="102"/>
      <c r="C237" s="102"/>
      <c r="D237" s="102"/>
      <c r="E237" s="102"/>
      <c r="F237" s="102"/>
      <c r="G237" s="102"/>
      <c r="H237" s="102"/>
      <c r="I237" s="102"/>
      <c r="J237" s="102"/>
      <c r="K237" s="104"/>
      <c r="L237" s="63" t="str">
        <f t="shared" ca="1" si="0"/>
        <v/>
      </c>
      <c r="M237" s="104"/>
      <c r="N237" s="105"/>
      <c r="O237" s="104"/>
      <c r="P237" s="102"/>
      <c r="Q237" s="119"/>
      <c r="R237" s="118"/>
      <c r="S237" s="107"/>
      <c r="T237" s="102"/>
      <c r="U237" s="102"/>
      <c r="V237" s="102"/>
      <c r="W237" s="105"/>
      <c r="X237" s="105"/>
      <c r="Y237" s="105"/>
      <c r="Z237" s="105"/>
      <c r="AA237" s="105"/>
      <c r="AB237" s="105"/>
      <c r="AC237" s="109"/>
      <c r="AD237" s="107"/>
      <c r="AE237" s="102"/>
      <c r="AF237" s="109"/>
      <c r="AG237" s="120"/>
      <c r="AH237" s="119"/>
      <c r="AI237" s="111"/>
      <c r="AJ237" s="131" t="str">
        <f t="shared" ca="1" si="1"/>
        <v/>
      </c>
      <c r="AK237" s="102"/>
      <c r="AL237" s="102"/>
      <c r="AM237" s="105"/>
      <c r="AN237" s="105"/>
      <c r="AO237" s="105"/>
      <c r="AP237" s="109"/>
      <c r="AQ237" s="112"/>
      <c r="AR237" s="102"/>
      <c r="AS237" s="102"/>
      <c r="AT237" s="113"/>
      <c r="AU237" s="108"/>
      <c r="AV237" s="107"/>
      <c r="AW237" s="109"/>
      <c r="AX237" s="115">
        <f t="shared" si="2"/>
        <v>1900</v>
      </c>
      <c r="AY237" s="115">
        <f t="shared" si="3"/>
        <v>1900</v>
      </c>
    </row>
    <row r="238" spans="1:51" ht="22.5" customHeight="1">
      <c r="A238" s="102"/>
      <c r="B238" s="102"/>
      <c r="C238" s="102"/>
      <c r="D238" s="102"/>
      <c r="E238" s="102"/>
      <c r="F238" s="102"/>
      <c r="G238" s="102"/>
      <c r="H238" s="102"/>
      <c r="I238" s="102"/>
      <c r="J238" s="102"/>
      <c r="K238" s="104"/>
      <c r="L238" s="63" t="str">
        <f t="shared" ca="1" si="0"/>
        <v/>
      </c>
      <c r="M238" s="104"/>
      <c r="N238" s="105"/>
      <c r="O238" s="104"/>
      <c r="P238" s="102"/>
      <c r="Q238" s="119"/>
      <c r="R238" s="118"/>
      <c r="S238" s="107"/>
      <c r="T238" s="102"/>
      <c r="U238" s="102"/>
      <c r="V238" s="102"/>
      <c r="W238" s="105"/>
      <c r="X238" s="105"/>
      <c r="Y238" s="105"/>
      <c r="Z238" s="105"/>
      <c r="AA238" s="105"/>
      <c r="AB238" s="105"/>
      <c r="AC238" s="109"/>
      <c r="AD238" s="107"/>
      <c r="AE238" s="102"/>
      <c r="AF238" s="109"/>
      <c r="AG238" s="120"/>
      <c r="AH238" s="119"/>
      <c r="AI238" s="111"/>
      <c r="AJ238" s="131" t="str">
        <f t="shared" ca="1" si="1"/>
        <v/>
      </c>
      <c r="AK238" s="102"/>
      <c r="AL238" s="102"/>
      <c r="AM238" s="105"/>
      <c r="AN238" s="105"/>
      <c r="AO238" s="105"/>
      <c r="AP238" s="109"/>
      <c r="AQ238" s="112"/>
      <c r="AR238" s="102"/>
      <c r="AS238" s="102"/>
      <c r="AT238" s="113"/>
      <c r="AU238" s="108"/>
      <c r="AV238" s="107"/>
      <c r="AW238" s="109"/>
      <c r="AX238" s="115">
        <f t="shared" si="2"/>
        <v>1900</v>
      </c>
      <c r="AY238" s="115">
        <f t="shared" si="3"/>
        <v>1900</v>
      </c>
    </row>
    <row r="239" spans="1:51" ht="22.5" customHeight="1">
      <c r="A239" s="102"/>
      <c r="B239" s="102"/>
      <c r="C239" s="102"/>
      <c r="D239" s="102"/>
      <c r="E239" s="102"/>
      <c r="F239" s="102"/>
      <c r="G239" s="102"/>
      <c r="H239" s="102"/>
      <c r="I239" s="102"/>
      <c r="J239" s="102"/>
      <c r="K239" s="104"/>
      <c r="L239" s="63" t="str">
        <f t="shared" ca="1" si="0"/>
        <v/>
      </c>
      <c r="M239" s="104"/>
      <c r="N239" s="105"/>
      <c r="O239" s="104"/>
      <c r="P239" s="102"/>
      <c r="Q239" s="119"/>
      <c r="R239" s="118"/>
      <c r="S239" s="107"/>
      <c r="T239" s="102"/>
      <c r="U239" s="102"/>
      <c r="V239" s="102"/>
      <c r="W239" s="105"/>
      <c r="X239" s="105"/>
      <c r="Y239" s="105"/>
      <c r="Z239" s="105"/>
      <c r="AA239" s="105"/>
      <c r="AB239" s="105"/>
      <c r="AC239" s="109"/>
      <c r="AD239" s="107"/>
      <c r="AE239" s="102"/>
      <c r="AF239" s="109"/>
      <c r="AG239" s="121"/>
      <c r="AH239" s="119"/>
      <c r="AI239" s="111"/>
      <c r="AJ239" s="131" t="str">
        <f t="shared" ca="1" si="1"/>
        <v/>
      </c>
      <c r="AK239" s="102"/>
      <c r="AL239" s="102"/>
      <c r="AM239" s="105"/>
      <c r="AN239" s="105"/>
      <c r="AO239" s="105"/>
      <c r="AP239" s="109"/>
      <c r="AQ239" s="112"/>
      <c r="AR239" s="102"/>
      <c r="AS239" s="102"/>
      <c r="AT239" s="113"/>
      <c r="AU239" s="108"/>
      <c r="AV239" s="107"/>
      <c r="AW239" s="109"/>
      <c r="AX239" s="115">
        <f t="shared" si="2"/>
        <v>1900</v>
      </c>
      <c r="AY239" s="115">
        <f t="shared" si="3"/>
        <v>1900</v>
      </c>
    </row>
    <row r="240" spans="1:51" ht="22.5" customHeight="1">
      <c r="A240" s="102"/>
      <c r="B240" s="102"/>
      <c r="C240" s="102"/>
      <c r="D240" s="102"/>
      <c r="E240" s="102"/>
      <c r="F240" s="102"/>
      <c r="G240" s="102"/>
      <c r="H240" s="102"/>
      <c r="I240" s="102"/>
      <c r="J240" s="102"/>
      <c r="K240" s="104"/>
      <c r="L240" s="63" t="str">
        <f t="shared" ca="1" si="0"/>
        <v/>
      </c>
      <c r="M240" s="104"/>
      <c r="N240" s="105"/>
      <c r="O240" s="104"/>
      <c r="P240" s="102"/>
      <c r="Q240" s="119"/>
      <c r="R240" s="118"/>
      <c r="S240" s="107"/>
      <c r="T240" s="102"/>
      <c r="U240" s="102"/>
      <c r="V240" s="102"/>
      <c r="W240" s="105"/>
      <c r="X240" s="105"/>
      <c r="Y240" s="105"/>
      <c r="Z240" s="105"/>
      <c r="AA240" s="105"/>
      <c r="AB240" s="105"/>
      <c r="AC240" s="109"/>
      <c r="AD240" s="107"/>
      <c r="AE240" s="102"/>
      <c r="AF240" s="109"/>
      <c r="AG240" s="120"/>
      <c r="AH240" s="119"/>
      <c r="AI240" s="111"/>
      <c r="AJ240" s="131" t="str">
        <f t="shared" ca="1" si="1"/>
        <v/>
      </c>
      <c r="AK240" s="102"/>
      <c r="AL240" s="102"/>
      <c r="AM240" s="105"/>
      <c r="AN240" s="105"/>
      <c r="AO240" s="105"/>
      <c r="AP240" s="109"/>
      <c r="AQ240" s="112"/>
      <c r="AR240" s="102"/>
      <c r="AS240" s="102"/>
      <c r="AT240" s="113"/>
      <c r="AU240" s="108"/>
      <c r="AV240" s="107"/>
      <c r="AW240" s="109"/>
      <c r="AX240" s="115">
        <f t="shared" si="2"/>
        <v>1900</v>
      </c>
      <c r="AY240" s="115">
        <f t="shared" si="3"/>
        <v>1900</v>
      </c>
    </row>
    <row r="241" spans="1:51" ht="22.5" customHeight="1">
      <c r="A241" s="102"/>
      <c r="B241" s="102"/>
      <c r="C241" s="102"/>
      <c r="D241" s="102"/>
      <c r="E241" s="102"/>
      <c r="F241" s="102"/>
      <c r="G241" s="102"/>
      <c r="H241" s="102"/>
      <c r="I241" s="102"/>
      <c r="J241" s="102"/>
      <c r="K241" s="104"/>
      <c r="L241" s="63" t="str">
        <f t="shared" ca="1" si="0"/>
        <v/>
      </c>
      <c r="M241" s="104"/>
      <c r="N241" s="105"/>
      <c r="O241" s="104"/>
      <c r="P241" s="102"/>
      <c r="Q241" s="119"/>
      <c r="R241" s="118"/>
      <c r="S241" s="107"/>
      <c r="T241" s="102"/>
      <c r="U241" s="102"/>
      <c r="V241" s="102"/>
      <c r="W241" s="105"/>
      <c r="X241" s="105"/>
      <c r="Y241" s="105"/>
      <c r="Z241" s="105"/>
      <c r="AA241" s="105"/>
      <c r="AB241" s="105"/>
      <c r="AC241" s="109"/>
      <c r="AD241" s="107"/>
      <c r="AE241" s="102"/>
      <c r="AF241" s="109"/>
      <c r="AG241" s="120"/>
      <c r="AH241" s="119"/>
      <c r="AI241" s="111"/>
      <c r="AJ241" s="131" t="str">
        <f t="shared" ca="1" si="1"/>
        <v/>
      </c>
      <c r="AK241" s="102"/>
      <c r="AL241" s="102"/>
      <c r="AM241" s="105"/>
      <c r="AN241" s="105"/>
      <c r="AO241" s="105"/>
      <c r="AP241" s="109"/>
      <c r="AQ241" s="112"/>
      <c r="AR241" s="102"/>
      <c r="AS241" s="102"/>
      <c r="AT241" s="113"/>
      <c r="AU241" s="108"/>
      <c r="AV241" s="107"/>
      <c r="AW241" s="109"/>
      <c r="AX241" s="115">
        <f t="shared" si="2"/>
        <v>1900</v>
      </c>
      <c r="AY241" s="115">
        <f t="shared" si="3"/>
        <v>1900</v>
      </c>
    </row>
    <row r="242" spans="1:51" ht="22.5" customHeight="1">
      <c r="A242" s="102"/>
      <c r="B242" s="102"/>
      <c r="C242" s="102"/>
      <c r="D242" s="102"/>
      <c r="E242" s="102"/>
      <c r="F242" s="102"/>
      <c r="G242" s="102"/>
      <c r="H242" s="102"/>
      <c r="I242" s="102"/>
      <c r="J242" s="102"/>
      <c r="K242" s="104"/>
      <c r="L242" s="63" t="str">
        <f t="shared" ca="1" si="0"/>
        <v/>
      </c>
      <c r="M242" s="104"/>
      <c r="N242" s="105"/>
      <c r="O242" s="104"/>
      <c r="P242" s="102"/>
      <c r="Q242" s="111"/>
      <c r="R242" s="106"/>
      <c r="S242" s="107"/>
      <c r="T242" s="102"/>
      <c r="U242" s="102"/>
      <c r="V242" s="102"/>
      <c r="W242" s="105"/>
      <c r="X242" s="105"/>
      <c r="Y242" s="105"/>
      <c r="Z242" s="105"/>
      <c r="AA242" s="105"/>
      <c r="AB242" s="105"/>
      <c r="AC242" s="109"/>
      <c r="AD242" s="107"/>
      <c r="AE242" s="102"/>
      <c r="AF242" s="109"/>
      <c r="AG242" s="107"/>
      <c r="AH242" s="111"/>
      <c r="AI242" s="111"/>
      <c r="AJ242" s="131" t="str">
        <f t="shared" ca="1" si="1"/>
        <v/>
      </c>
      <c r="AK242" s="102"/>
      <c r="AL242" s="102"/>
      <c r="AM242" s="105"/>
      <c r="AN242" s="105"/>
      <c r="AO242" s="105"/>
      <c r="AP242" s="109"/>
      <c r="AQ242" s="112"/>
      <c r="AR242" s="102"/>
      <c r="AS242" s="102"/>
      <c r="AT242" s="113"/>
      <c r="AU242" s="108"/>
      <c r="AV242" s="107"/>
      <c r="AW242" s="109"/>
      <c r="AX242" s="115">
        <f t="shared" si="2"/>
        <v>1900</v>
      </c>
      <c r="AY242" s="115">
        <f t="shared" si="3"/>
        <v>1900</v>
      </c>
    </row>
    <row r="243" spans="1:51" ht="22.5" customHeight="1">
      <c r="A243" s="102"/>
      <c r="B243" s="102"/>
      <c r="C243" s="102"/>
      <c r="D243" s="102"/>
      <c r="E243" s="102"/>
      <c r="F243" s="102"/>
      <c r="G243" s="102"/>
      <c r="H243" s="102"/>
      <c r="I243" s="102"/>
      <c r="J243" s="102"/>
      <c r="K243" s="104"/>
      <c r="L243" s="63" t="str">
        <f t="shared" ca="1" si="0"/>
        <v/>
      </c>
      <c r="M243" s="104"/>
      <c r="N243" s="105"/>
      <c r="O243" s="104"/>
      <c r="P243" s="102"/>
      <c r="Q243" s="111"/>
      <c r="R243" s="106"/>
      <c r="S243" s="107"/>
      <c r="T243" s="102"/>
      <c r="U243" s="102"/>
      <c r="V243" s="102"/>
      <c r="W243" s="105"/>
      <c r="X243" s="105"/>
      <c r="Y243" s="105"/>
      <c r="Z243" s="105"/>
      <c r="AA243" s="105"/>
      <c r="AB243" s="105"/>
      <c r="AC243" s="109"/>
      <c r="AD243" s="107"/>
      <c r="AE243" s="102"/>
      <c r="AF243" s="109"/>
      <c r="AG243" s="107"/>
      <c r="AH243" s="111"/>
      <c r="AI243" s="111"/>
      <c r="AJ243" s="131" t="str">
        <f t="shared" ca="1" si="1"/>
        <v/>
      </c>
      <c r="AK243" s="102"/>
      <c r="AL243" s="102"/>
      <c r="AM243" s="105"/>
      <c r="AN243" s="105"/>
      <c r="AO243" s="105"/>
      <c r="AP243" s="109"/>
      <c r="AQ243" s="112"/>
      <c r="AR243" s="102"/>
      <c r="AS243" s="102"/>
      <c r="AT243" s="113"/>
      <c r="AU243" s="108"/>
      <c r="AV243" s="107"/>
      <c r="AW243" s="109"/>
      <c r="AX243" s="115">
        <f t="shared" si="2"/>
        <v>1900</v>
      </c>
      <c r="AY243" s="115">
        <f t="shared" si="3"/>
        <v>1900</v>
      </c>
    </row>
    <row r="244" spans="1:51" ht="22.5" customHeight="1">
      <c r="A244" s="102"/>
      <c r="B244" s="102"/>
      <c r="C244" s="102"/>
      <c r="D244" s="102"/>
      <c r="E244" s="102"/>
      <c r="F244" s="102"/>
      <c r="G244" s="102"/>
      <c r="H244" s="102"/>
      <c r="I244" s="102"/>
      <c r="J244" s="102"/>
      <c r="K244" s="104"/>
      <c r="L244" s="63" t="str">
        <f t="shared" ca="1" si="0"/>
        <v/>
      </c>
      <c r="M244" s="104"/>
      <c r="N244" s="105"/>
      <c r="O244" s="104"/>
      <c r="P244" s="102"/>
      <c r="Q244" s="111"/>
      <c r="R244" s="106"/>
      <c r="S244" s="107"/>
      <c r="T244" s="102"/>
      <c r="U244" s="102"/>
      <c r="V244" s="102"/>
      <c r="W244" s="105"/>
      <c r="X244" s="105"/>
      <c r="Y244" s="105"/>
      <c r="Z244" s="105"/>
      <c r="AA244" s="105"/>
      <c r="AB244" s="105"/>
      <c r="AC244" s="109"/>
      <c r="AD244" s="107"/>
      <c r="AE244" s="102"/>
      <c r="AF244" s="109"/>
      <c r="AG244" s="107"/>
      <c r="AH244" s="111"/>
      <c r="AI244" s="111"/>
      <c r="AJ244" s="131" t="str">
        <f t="shared" ca="1" si="1"/>
        <v/>
      </c>
      <c r="AK244" s="102"/>
      <c r="AL244" s="102"/>
      <c r="AM244" s="105"/>
      <c r="AN244" s="105"/>
      <c r="AO244" s="105"/>
      <c r="AP244" s="109"/>
      <c r="AQ244" s="112"/>
      <c r="AR244" s="102"/>
      <c r="AS244" s="102"/>
      <c r="AT244" s="113"/>
      <c r="AU244" s="108"/>
      <c r="AV244" s="107"/>
      <c r="AW244" s="109"/>
      <c r="AX244" s="115">
        <f t="shared" si="2"/>
        <v>1900</v>
      </c>
      <c r="AY244" s="115">
        <f t="shared" si="3"/>
        <v>1900</v>
      </c>
    </row>
    <row r="245" spans="1:51" ht="22.5" customHeight="1">
      <c r="A245" s="102"/>
      <c r="B245" s="102"/>
      <c r="C245" s="102"/>
      <c r="D245" s="102"/>
      <c r="E245" s="102"/>
      <c r="F245" s="102"/>
      <c r="G245" s="102"/>
      <c r="H245" s="102"/>
      <c r="I245" s="102"/>
      <c r="J245" s="102"/>
      <c r="K245" s="104"/>
      <c r="L245" s="63" t="str">
        <f t="shared" ca="1" si="0"/>
        <v/>
      </c>
      <c r="M245" s="104"/>
      <c r="N245" s="105"/>
      <c r="O245" s="104"/>
      <c r="P245" s="102"/>
      <c r="Q245" s="111"/>
      <c r="R245" s="106"/>
      <c r="S245" s="107"/>
      <c r="T245" s="102"/>
      <c r="U245" s="102"/>
      <c r="V245" s="102"/>
      <c r="W245" s="105"/>
      <c r="X245" s="105"/>
      <c r="Y245" s="105"/>
      <c r="Z245" s="105"/>
      <c r="AA245" s="105"/>
      <c r="AB245" s="105"/>
      <c r="AC245" s="109"/>
      <c r="AD245" s="107"/>
      <c r="AE245" s="102"/>
      <c r="AF245" s="109"/>
      <c r="AG245" s="107"/>
      <c r="AH245" s="111"/>
      <c r="AI245" s="111"/>
      <c r="AJ245" s="131" t="str">
        <f t="shared" ca="1" si="1"/>
        <v/>
      </c>
      <c r="AK245" s="102"/>
      <c r="AL245" s="102"/>
      <c r="AM245" s="105"/>
      <c r="AN245" s="105"/>
      <c r="AO245" s="105"/>
      <c r="AP245" s="109"/>
      <c r="AQ245" s="112"/>
      <c r="AR245" s="102"/>
      <c r="AS245" s="102"/>
      <c r="AT245" s="113"/>
      <c r="AU245" s="108"/>
      <c r="AV245" s="107"/>
      <c r="AW245" s="109"/>
      <c r="AX245" s="115">
        <f t="shared" si="2"/>
        <v>1900</v>
      </c>
      <c r="AY245" s="115">
        <f t="shared" si="3"/>
        <v>1900</v>
      </c>
    </row>
    <row r="246" spans="1:51" ht="22.5" customHeight="1">
      <c r="A246" s="102"/>
      <c r="B246" s="102"/>
      <c r="C246" s="102"/>
      <c r="D246" s="102"/>
      <c r="E246" s="102"/>
      <c r="F246" s="102"/>
      <c r="G246" s="102"/>
      <c r="H246" s="102"/>
      <c r="I246" s="102"/>
      <c r="J246" s="102"/>
      <c r="K246" s="104"/>
      <c r="L246" s="63" t="str">
        <f t="shared" ca="1" si="0"/>
        <v/>
      </c>
      <c r="M246" s="104"/>
      <c r="N246" s="105"/>
      <c r="O246" s="104"/>
      <c r="P246" s="102"/>
      <c r="Q246" s="111"/>
      <c r="R246" s="106"/>
      <c r="S246" s="107"/>
      <c r="T246" s="102"/>
      <c r="U246" s="102"/>
      <c r="V246" s="102"/>
      <c r="W246" s="105"/>
      <c r="X246" s="105"/>
      <c r="Y246" s="105"/>
      <c r="Z246" s="105"/>
      <c r="AA246" s="105"/>
      <c r="AB246" s="105"/>
      <c r="AC246" s="109"/>
      <c r="AD246" s="107"/>
      <c r="AE246" s="102"/>
      <c r="AF246" s="109"/>
      <c r="AG246" s="107"/>
      <c r="AH246" s="111"/>
      <c r="AI246" s="111"/>
      <c r="AJ246" s="131" t="str">
        <f t="shared" ca="1" si="1"/>
        <v/>
      </c>
      <c r="AK246" s="102"/>
      <c r="AL246" s="102"/>
      <c r="AM246" s="105"/>
      <c r="AN246" s="105"/>
      <c r="AO246" s="105"/>
      <c r="AP246" s="109"/>
      <c r="AQ246" s="112"/>
      <c r="AR246" s="102"/>
      <c r="AS246" s="102"/>
      <c r="AT246" s="113"/>
      <c r="AU246" s="108"/>
      <c r="AV246" s="107"/>
      <c r="AW246" s="109"/>
      <c r="AX246" s="115">
        <f t="shared" si="2"/>
        <v>1900</v>
      </c>
      <c r="AY246" s="115">
        <f t="shared" si="3"/>
        <v>1900</v>
      </c>
    </row>
    <row r="247" spans="1:51" ht="22.5" customHeight="1">
      <c r="A247" s="102"/>
      <c r="B247" s="102"/>
      <c r="C247" s="102"/>
      <c r="D247" s="102"/>
      <c r="E247" s="102"/>
      <c r="F247" s="102"/>
      <c r="G247" s="102"/>
      <c r="H247" s="102"/>
      <c r="I247" s="102"/>
      <c r="J247" s="102"/>
      <c r="K247" s="104"/>
      <c r="L247" s="63" t="str">
        <f t="shared" ca="1" si="0"/>
        <v/>
      </c>
      <c r="M247" s="104"/>
      <c r="N247" s="105"/>
      <c r="O247" s="104"/>
      <c r="P247" s="102"/>
      <c r="Q247" s="111"/>
      <c r="R247" s="106"/>
      <c r="S247" s="107"/>
      <c r="T247" s="102"/>
      <c r="U247" s="102"/>
      <c r="V247" s="102"/>
      <c r="W247" s="105"/>
      <c r="X247" s="105"/>
      <c r="Y247" s="105"/>
      <c r="Z247" s="105"/>
      <c r="AA247" s="105"/>
      <c r="AB247" s="105"/>
      <c r="AC247" s="109"/>
      <c r="AD247" s="107"/>
      <c r="AE247" s="102"/>
      <c r="AF247" s="109"/>
      <c r="AG247" s="107"/>
      <c r="AH247" s="111"/>
      <c r="AI247" s="111"/>
      <c r="AJ247" s="131" t="str">
        <f t="shared" ca="1" si="1"/>
        <v/>
      </c>
      <c r="AK247" s="102"/>
      <c r="AL247" s="102"/>
      <c r="AM247" s="105"/>
      <c r="AN247" s="105"/>
      <c r="AO247" s="105"/>
      <c r="AP247" s="109"/>
      <c r="AQ247" s="112"/>
      <c r="AR247" s="102"/>
      <c r="AS247" s="102"/>
      <c r="AT247" s="113"/>
      <c r="AU247" s="108"/>
      <c r="AV247" s="107"/>
      <c r="AW247" s="109"/>
      <c r="AX247" s="115">
        <f t="shared" si="2"/>
        <v>1900</v>
      </c>
      <c r="AY247" s="115">
        <f t="shared" si="3"/>
        <v>1900</v>
      </c>
    </row>
    <row r="248" spans="1:51" ht="22.5" customHeight="1">
      <c r="A248" s="102"/>
      <c r="B248" s="102"/>
      <c r="C248" s="102"/>
      <c r="D248" s="102"/>
      <c r="E248" s="102"/>
      <c r="F248" s="102"/>
      <c r="G248" s="102"/>
      <c r="H248" s="102"/>
      <c r="I248" s="102"/>
      <c r="J248" s="102"/>
      <c r="K248" s="104"/>
      <c r="L248" s="63" t="str">
        <f t="shared" ca="1" si="0"/>
        <v/>
      </c>
      <c r="M248" s="104"/>
      <c r="N248" s="105"/>
      <c r="O248" s="104"/>
      <c r="P248" s="102"/>
      <c r="Q248" s="111"/>
      <c r="R248" s="106"/>
      <c r="S248" s="107"/>
      <c r="T248" s="102"/>
      <c r="U248" s="102"/>
      <c r="V248" s="102"/>
      <c r="W248" s="105"/>
      <c r="X248" s="105"/>
      <c r="Y248" s="105"/>
      <c r="Z248" s="105"/>
      <c r="AA248" s="105"/>
      <c r="AB248" s="105"/>
      <c r="AC248" s="109"/>
      <c r="AD248" s="107"/>
      <c r="AE248" s="102"/>
      <c r="AF248" s="109"/>
      <c r="AG248" s="107"/>
      <c r="AH248" s="111"/>
      <c r="AI248" s="111"/>
      <c r="AJ248" s="131" t="str">
        <f t="shared" ca="1" si="1"/>
        <v/>
      </c>
      <c r="AK248" s="102"/>
      <c r="AL248" s="102"/>
      <c r="AM248" s="105"/>
      <c r="AN248" s="105"/>
      <c r="AO248" s="105"/>
      <c r="AP248" s="109"/>
      <c r="AQ248" s="112"/>
      <c r="AR248" s="102"/>
      <c r="AS248" s="102"/>
      <c r="AT248" s="113"/>
      <c r="AU248" s="108"/>
      <c r="AV248" s="107"/>
      <c r="AW248" s="109"/>
      <c r="AX248" s="115">
        <f t="shared" si="2"/>
        <v>1900</v>
      </c>
      <c r="AY248" s="115">
        <f t="shared" si="3"/>
        <v>1900</v>
      </c>
    </row>
    <row r="249" spans="1:51" ht="22.5" customHeight="1">
      <c r="A249" s="102"/>
      <c r="B249" s="102"/>
      <c r="C249" s="102"/>
      <c r="D249" s="102"/>
      <c r="E249" s="102"/>
      <c r="F249" s="102"/>
      <c r="G249" s="102"/>
      <c r="H249" s="102"/>
      <c r="I249" s="102"/>
      <c r="J249" s="102"/>
      <c r="K249" s="104"/>
      <c r="L249" s="63" t="str">
        <f t="shared" ca="1" si="0"/>
        <v/>
      </c>
      <c r="M249" s="104"/>
      <c r="N249" s="105"/>
      <c r="O249" s="104"/>
      <c r="P249" s="102"/>
      <c r="Q249" s="111"/>
      <c r="R249" s="106"/>
      <c r="S249" s="107"/>
      <c r="T249" s="102"/>
      <c r="U249" s="102"/>
      <c r="V249" s="102"/>
      <c r="W249" s="105"/>
      <c r="X249" s="105"/>
      <c r="Y249" s="105"/>
      <c r="Z249" s="105"/>
      <c r="AA249" s="105"/>
      <c r="AB249" s="105"/>
      <c r="AC249" s="109"/>
      <c r="AD249" s="107"/>
      <c r="AE249" s="102"/>
      <c r="AF249" s="109"/>
      <c r="AG249" s="107"/>
      <c r="AH249" s="111"/>
      <c r="AI249" s="111"/>
      <c r="AJ249" s="131" t="str">
        <f t="shared" ca="1" si="1"/>
        <v/>
      </c>
      <c r="AK249" s="102"/>
      <c r="AL249" s="102"/>
      <c r="AM249" s="105"/>
      <c r="AN249" s="105"/>
      <c r="AO249" s="105"/>
      <c r="AP249" s="109"/>
      <c r="AQ249" s="112"/>
      <c r="AR249" s="102"/>
      <c r="AS249" s="102"/>
      <c r="AT249" s="113"/>
      <c r="AU249" s="108"/>
      <c r="AV249" s="107"/>
      <c r="AW249" s="109"/>
      <c r="AX249" s="115">
        <f t="shared" si="2"/>
        <v>1900</v>
      </c>
      <c r="AY249" s="115">
        <f t="shared" si="3"/>
        <v>1900</v>
      </c>
    </row>
    <row r="250" spans="1:51" ht="22.5" customHeight="1">
      <c r="A250" s="102"/>
      <c r="B250" s="102"/>
      <c r="C250" s="102"/>
      <c r="D250" s="102"/>
      <c r="E250" s="102"/>
      <c r="F250" s="102"/>
      <c r="G250" s="102"/>
      <c r="H250" s="102"/>
      <c r="I250" s="102"/>
      <c r="J250" s="102"/>
      <c r="K250" s="104"/>
      <c r="L250" s="63" t="str">
        <f t="shared" ca="1" si="0"/>
        <v/>
      </c>
      <c r="M250" s="104"/>
      <c r="N250" s="105"/>
      <c r="O250" s="104"/>
      <c r="P250" s="102"/>
      <c r="Q250" s="111"/>
      <c r="R250" s="106"/>
      <c r="S250" s="107"/>
      <c r="T250" s="102"/>
      <c r="U250" s="102"/>
      <c r="V250" s="102"/>
      <c r="W250" s="105"/>
      <c r="X250" s="105"/>
      <c r="Y250" s="105"/>
      <c r="Z250" s="105"/>
      <c r="AA250" s="105"/>
      <c r="AB250" s="105"/>
      <c r="AC250" s="109"/>
      <c r="AD250" s="107"/>
      <c r="AE250" s="102"/>
      <c r="AF250" s="109"/>
      <c r="AG250" s="107"/>
      <c r="AH250" s="111"/>
      <c r="AI250" s="111"/>
      <c r="AJ250" s="131" t="str">
        <f t="shared" ca="1" si="1"/>
        <v/>
      </c>
      <c r="AK250" s="102"/>
      <c r="AL250" s="102"/>
      <c r="AM250" s="105"/>
      <c r="AN250" s="105"/>
      <c r="AO250" s="105"/>
      <c r="AP250" s="109"/>
      <c r="AQ250" s="112"/>
      <c r="AR250" s="102"/>
      <c r="AS250" s="102"/>
      <c r="AT250" s="113"/>
      <c r="AU250" s="108"/>
      <c r="AV250" s="107"/>
      <c r="AW250" s="109"/>
      <c r="AX250" s="115">
        <f t="shared" si="2"/>
        <v>1900</v>
      </c>
      <c r="AY250" s="115">
        <f t="shared" si="3"/>
        <v>1900</v>
      </c>
    </row>
    <row r="251" spans="1:51" ht="22.5" customHeight="1">
      <c r="A251" s="102"/>
      <c r="B251" s="102"/>
      <c r="C251" s="102"/>
      <c r="D251" s="102"/>
      <c r="E251" s="102"/>
      <c r="F251" s="102"/>
      <c r="G251" s="102"/>
      <c r="H251" s="102"/>
      <c r="I251" s="102"/>
      <c r="J251" s="102"/>
      <c r="K251" s="104"/>
      <c r="L251" s="63" t="str">
        <f t="shared" ca="1" si="0"/>
        <v/>
      </c>
      <c r="M251" s="104"/>
      <c r="N251" s="105"/>
      <c r="O251" s="104"/>
      <c r="P251" s="102"/>
      <c r="Q251" s="111"/>
      <c r="R251" s="106"/>
      <c r="S251" s="107"/>
      <c r="T251" s="102"/>
      <c r="U251" s="102"/>
      <c r="V251" s="102"/>
      <c r="W251" s="105"/>
      <c r="X251" s="105"/>
      <c r="Y251" s="105"/>
      <c r="Z251" s="105"/>
      <c r="AA251" s="105"/>
      <c r="AB251" s="105"/>
      <c r="AC251" s="109"/>
      <c r="AD251" s="107"/>
      <c r="AE251" s="102"/>
      <c r="AF251" s="109"/>
      <c r="AG251" s="107"/>
      <c r="AH251" s="111"/>
      <c r="AI251" s="111"/>
      <c r="AJ251" s="131" t="str">
        <f t="shared" ca="1" si="1"/>
        <v/>
      </c>
      <c r="AK251" s="102"/>
      <c r="AL251" s="102"/>
      <c r="AM251" s="105"/>
      <c r="AN251" s="105"/>
      <c r="AO251" s="105"/>
      <c r="AP251" s="109"/>
      <c r="AQ251" s="112"/>
      <c r="AR251" s="102"/>
      <c r="AS251" s="102"/>
      <c r="AT251" s="113"/>
      <c r="AU251" s="108"/>
      <c r="AV251" s="107"/>
      <c r="AW251" s="109"/>
      <c r="AX251" s="115">
        <f t="shared" si="2"/>
        <v>1900</v>
      </c>
      <c r="AY251" s="115">
        <f t="shared" si="3"/>
        <v>1900</v>
      </c>
    </row>
    <row r="252" spans="1:51" ht="22.5" customHeight="1">
      <c r="A252" s="102"/>
      <c r="B252" s="102"/>
      <c r="C252" s="102"/>
      <c r="D252" s="102"/>
      <c r="E252" s="102"/>
      <c r="F252" s="102"/>
      <c r="G252" s="102"/>
      <c r="H252" s="102"/>
      <c r="I252" s="102"/>
      <c r="J252" s="102"/>
      <c r="K252" s="104"/>
      <c r="L252" s="63" t="str">
        <f t="shared" ca="1" si="0"/>
        <v/>
      </c>
      <c r="M252" s="104"/>
      <c r="N252" s="105"/>
      <c r="O252" s="104"/>
      <c r="P252" s="102"/>
      <c r="Q252" s="111"/>
      <c r="R252" s="106"/>
      <c r="S252" s="107"/>
      <c r="T252" s="102"/>
      <c r="U252" s="102"/>
      <c r="V252" s="102"/>
      <c r="W252" s="105"/>
      <c r="X252" s="105"/>
      <c r="Y252" s="105"/>
      <c r="Z252" s="105"/>
      <c r="AA252" s="105"/>
      <c r="AB252" s="105"/>
      <c r="AC252" s="109"/>
      <c r="AD252" s="107"/>
      <c r="AE252" s="102"/>
      <c r="AF252" s="109"/>
      <c r="AG252" s="107"/>
      <c r="AH252" s="111"/>
      <c r="AI252" s="111"/>
      <c r="AJ252" s="131" t="str">
        <f t="shared" ca="1" si="1"/>
        <v/>
      </c>
      <c r="AK252" s="102"/>
      <c r="AL252" s="102"/>
      <c r="AM252" s="105"/>
      <c r="AN252" s="105"/>
      <c r="AO252" s="105"/>
      <c r="AP252" s="109"/>
      <c r="AQ252" s="112"/>
      <c r="AR252" s="102"/>
      <c r="AS252" s="102"/>
      <c r="AT252" s="113"/>
      <c r="AU252" s="108"/>
      <c r="AV252" s="107"/>
      <c r="AW252" s="109"/>
      <c r="AX252" s="115">
        <f t="shared" si="2"/>
        <v>1900</v>
      </c>
      <c r="AY252" s="115">
        <f t="shared" si="3"/>
        <v>1900</v>
      </c>
    </row>
    <row r="253" spans="1:51" ht="22.5" customHeight="1">
      <c r="A253" s="102"/>
      <c r="B253" s="102"/>
      <c r="C253" s="102"/>
      <c r="D253" s="102"/>
      <c r="E253" s="102"/>
      <c r="F253" s="102"/>
      <c r="G253" s="102"/>
      <c r="H253" s="102"/>
      <c r="I253" s="102"/>
      <c r="J253" s="102"/>
      <c r="K253" s="104"/>
      <c r="L253" s="63" t="str">
        <f t="shared" ca="1" si="0"/>
        <v/>
      </c>
      <c r="M253" s="104"/>
      <c r="N253" s="105"/>
      <c r="O253" s="104"/>
      <c r="P253" s="102"/>
      <c r="Q253" s="111"/>
      <c r="R253" s="106"/>
      <c r="S253" s="107"/>
      <c r="T253" s="102"/>
      <c r="U253" s="102"/>
      <c r="V253" s="102"/>
      <c r="W253" s="105"/>
      <c r="X253" s="105"/>
      <c r="Y253" s="105"/>
      <c r="Z253" s="105"/>
      <c r="AA253" s="105"/>
      <c r="AB253" s="105"/>
      <c r="AC253" s="109"/>
      <c r="AD253" s="107"/>
      <c r="AE253" s="102"/>
      <c r="AF253" s="109"/>
      <c r="AG253" s="107"/>
      <c r="AH253" s="111"/>
      <c r="AI253" s="111"/>
      <c r="AJ253" s="131" t="str">
        <f t="shared" ca="1" si="1"/>
        <v/>
      </c>
      <c r="AK253" s="102"/>
      <c r="AL253" s="102"/>
      <c r="AM253" s="105"/>
      <c r="AN253" s="105"/>
      <c r="AO253" s="105"/>
      <c r="AP253" s="109"/>
      <c r="AQ253" s="112"/>
      <c r="AR253" s="102"/>
      <c r="AS253" s="102"/>
      <c r="AT253" s="113"/>
      <c r="AU253" s="108"/>
      <c r="AV253" s="107"/>
      <c r="AW253" s="109"/>
      <c r="AX253" s="115">
        <f t="shared" si="2"/>
        <v>1900</v>
      </c>
      <c r="AY253" s="115">
        <f t="shared" si="3"/>
        <v>1900</v>
      </c>
    </row>
    <row r="254" spans="1:51" ht="22.5" customHeight="1">
      <c r="A254" s="102"/>
      <c r="B254" s="102"/>
      <c r="C254" s="102"/>
      <c r="D254" s="102"/>
      <c r="E254" s="102"/>
      <c r="F254" s="102"/>
      <c r="G254" s="102"/>
      <c r="H254" s="102"/>
      <c r="I254" s="102"/>
      <c r="J254" s="102"/>
      <c r="K254" s="104"/>
      <c r="L254" s="63" t="str">
        <f t="shared" ca="1" si="0"/>
        <v/>
      </c>
      <c r="M254" s="104"/>
      <c r="N254" s="105"/>
      <c r="O254" s="104"/>
      <c r="P254" s="102"/>
      <c r="Q254" s="111"/>
      <c r="R254" s="106"/>
      <c r="S254" s="107"/>
      <c r="T254" s="102"/>
      <c r="U254" s="102"/>
      <c r="V254" s="102"/>
      <c r="W254" s="105"/>
      <c r="X254" s="105"/>
      <c r="Y254" s="105"/>
      <c r="Z254" s="105"/>
      <c r="AA254" s="105"/>
      <c r="AB254" s="105"/>
      <c r="AC254" s="109"/>
      <c r="AD254" s="107"/>
      <c r="AE254" s="102"/>
      <c r="AF254" s="109"/>
      <c r="AG254" s="107"/>
      <c r="AH254" s="111"/>
      <c r="AI254" s="111"/>
      <c r="AJ254" s="131" t="str">
        <f t="shared" ca="1" si="1"/>
        <v/>
      </c>
      <c r="AK254" s="102"/>
      <c r="AL254" s="102"/>
      <c r="AM254" s="105"/>
      <c r="AN254" s="105"/>
      <c r="AO254" s="105"/>
      <c r="AP254" s="109"/>
      <c r="AQ254" s="112"/>
      <c r="AR254" s="102"/>
      <c r="AS254" s="102"/>
      <c r="AT254" s="113"/>
      <c r="AU254" s="108"/>
      <c r="AV254" s="107"/>
      <c r="AW254" s="109"/>
      <c r="AX254" s="115">
        <f t="shared" si="2"/>
        <v>1900</v>
      </c>
      <c r="AY254" s="115">
        <f t="shared" si="3"/>
        <v>1900</v>
      </c>
    </row>
    <row r="255" spans="1:51" ht="22.5" customHeight="1">
      <c r="A255" s="102"/>
      <c r="B255" s="102"/>
      <c r="C255" s="102"/>
      <c r="D255" s="102"/>
      <c r="E255" s="102"/>
      <c r="F255" s="102"/>
      <c r="G255" s="102"/>
      <c r="H255" s="102"/>
      <c r="I255" s="102"/>
      <c r="J255" s="102"/>
      <c r="K255" s="104"/>
      <c r="L255" s="63" t="str">
        <f t="shared" ca="1" si="0"/>
        <v/>
      </c>
      <c r="M255" s="104"/>
      <c r="N255" s="105"/>
      <c r="O255" s="104"/>
      <c r="P255" s="102"/>
      <c r="Q255" s="111"/>
      <c r="R255" s="106"/>
      <c r="S255" s="107"/>
      <c r="T255" s="102"/>
      <c r="U255" s="102"/>
      <c r="V255" s="102"/>
      <c r="W255" s="105"/>
      <c r="X255" s="105"/>
      <c r="Y255" s="105"/>
      <c r="Z255" s="105"/>
      <c r="AA255" s="105"/>
      <c r="AB255" s="105"/>
      <c r="AC255" s="109"/>
      <c r="AD255" s="107"/>
      <c r="AE255" s="102"/>
      <c r="AF255" s="109"/>
      <c r="AG255" s="107"/>
      <c r="AH255" s="111"/>
      <c r="AI255" s="111"/>
      <c r="AJ255" s="131" t="str">
        <f t="shared" ca="1" si="1"/>
        <v/>
      </c>
      <c r="AK255" s="102"/>
      <c r="AL255" s="102"/>
      <c r="AM255" s="105"/>
      <c r="AN255" s="105"/>
      <c r="AO255" s="105"/>
      <c r="AP255" s="109"/>
      <c r="AQ255" s="112"/>
      <c r="AR255" s="102"/>
      <c r="AS255" s="102"/>
      <c r="AT255" s="113"/>
      <c r="AU255" s="108"/>
      <c r="AV255" s="107"/>
      <c r="AW255" s="109"/>
      <c r="AX255" s="115">
        <f t="shared" si="2"/>
        <v>1900</v>
      </c>
      <c r="AY255" s="115">
        <f t="shared" si="3"/>
        <v>1900</v>
      </c>
    </row>
    <row r="256" spans="1:51" ht="22.5" customHeight="1">
      <c r="A256" s="102"/>
      <c r="B256" s="102"/>
      <c r="C256" s="102"/>
      <c r="D256" s="102"/>
      <c r="E256" s="102"/>
      <c r="F256" s="102"/>
      <c r="G256" s="102"/>
      <c r="H256" s="102"/>
      <c r="I256" s="102"/>
      <c r="J256" s="102"/>
      <c r="K256" s="104"/>
      <c r="L256" s="63" t="str">
        <f t="shared" ca="1" si="0"/>
        <v/>
      </c>
      <c r="M256" s="104"/>
      <c r="N256" s="105"/>
      <c r="O256" s="104"/>
      <c r="P256" s="102"/>
      <c r="Q256" s="111"/>
      <c r="R256" s="106"/>
      <c r="S256" s="107"/>
      <c r="T256" s="102"/>
      <c r="U256" s="102"/>
      <c r="V256" s="102"/>
      <c r="W256" s="105"/>
      <c r="X256" s="105"/>
      <c r="Y256" s="105"/>
      <c r="Z256" s="105"/>
      <c r="AA256" s="105"/>
      <c r="AB256" s="105"/>
      <c r="AC256" s="109"/>
      <c r="AD256" s="107"/>
      <c r="AE256" s="102"/>
      <c r="AF256" s="109"/>
      <c r="AG256" s="107"/>
      <c r="AH256" s="111"/>
      <c r="AI256" s="111"/>
      <c r="AJ256" s="131" t="str">
        <f t="shared" ca="1" si="1"/>
        <v/>
      </c>
      <c r="AK256" s="102"/>
      <c r="AL256" s="102"/>
      <c r="AM256" s="105"/>
      <c r="AN256" s="105"/>
      <c r="AO256" s="105"/>
      <c r="AP256" s="109"/>
      <c r="AQ256" s="112"/>
      <c r="AR256" s="102"/>
      <c r="AS256" s="102"/>
      <c r="AT256" s="113"/>
      <c r="AU256" s="108"/>
      <c r="AV256" s="107"/>
      <c r="AW256" s="109"/>
      <c r="AX256" s="115">
        <f t="shared" si="2"/>
        <v>1900</v>
      </c>
      <c r="AY256" s="115">
        <f t="shared" si="3"/>
        <v>1900</v>
      </c>
    </row>
    <row r="257" spans="1:51" ht="22.5" customHeight="1">
      <c r="A257" s="102"/>
      <c r="B257" s="102"/>
      <c r="C257" s="102"/>
      <c r="D257" s="102"/>
      <c r="E257" s="102"/>
      <c r="F257" s="102"/>
      <c r="G257" s="102"/>
      <c r="H257" s="102"/>
      <c r="I257" s="102"/>
      <c r="J257" s="102"/>
      <c r="K257" s="104"/>
      <c r="L257" s="63" t="str">
        <f t="shared" ca="1" si="0"/>
        <v/>
      </c>
      <c r="M257" s="104"/>
      <c r="N257" s="105"/>
      <c r="O257" s="104"/>
      <c r="P257" s="102"/>
      <c r="Q257" s="111"/>
      <c r="R257" s="106"/>
      <c r="S257" s="107"/>
      <c r="T257" s="102"/>
      <c r="U257" s="102"/>
      <c r="V257" s="102"/>
      <c r="W257" s="105"/>
      <c r="X257" s="105"/>
      <c r="Y257" s="105"/>
      <c r="Z257" s="105"/>
      <c r="AA257" s="105"/>
      <c r="AB257" s="105"/>
      <c r="AC257" s="109"/>
      <c r="AD257" s="107"/>
      <c r="AE257" s="102"/>
      <c r="AF257" s="109"/>
      <c r="AG257" s="107"/>
      <c r="AH257" s="111"/>
      <c r="AI257" s="111"/>
      <c r="AJ257" s="131" t="str">
        <f t="shared" ca="1" si="1"/>
        <v/>
      </c>
      <c r="AK257" s="102"/>
      <c r="AL257" s="102"/>
      <c r="AM257" s="105"/>
      <c r="AN257" s="105"/>
      <c r="AO257" s="105"/>
      <c r="AP257" s="109"/>
      <c r="AQ257" s="112"/>
      <c r="AR257" s="102"/>
      <c r="AS257" s="102"/>
      <c r="AT257" s="113"/>
      <c r="AU257" s="108"/>
      <c r="AV257" s="107"/>
      <c r="AW257" s="109"/>
      <c r="AX257" s="115">
        <f t="shared" si="2"/>
        <v>1900</v>
      </c>
      <c r="AY257" s="115">
        <f t="shared" si="3"/>
        <v>1900</v>
      </c>
    </row>
    <row r="258" spans="1:51" ht="22.5" customHeight="1">
      <c r="A258" s="102"/>
      <c r="B258" s="102"/>
      <c r="C258" s="102"/>
      <c r="D258" s="102"/>
      <c r="E258" s="102"/>
      <c r="F258" s="102"/>
      <c r="G258" s="102"/>
      <c r="H258" s="102"/>
      <c r="I258" s="102"/>
      <c r="J258" s="102"/>
      <c r="K258" s="104"/>
      <c r="L258" s="63" t="str">
        <f t="shared" ca="1" si="0"/>
        <v/>
      </c>
      <c r="M258" s="104"/>
      <c r="N258" s="105"/>
      <c r="O258" s="104"/>
      <c r="P258" s="102"/>
      <c r="Q258" s="111"/>
      <c r="R258" s="106"/>
      <c r="S258" s="107"/>
      <c r="T258" s="102"/>
      <c r="U258" s="102"/>
      <c r="V258" s="102"/>
      <c r="W258" s="105"/>
      <c r="X258" s="105"/>
      <c r="Y258" s="105"/>
      <c r="Z258" s="105"/>
      <c r="AA258" s="105"/>
      <c r="AB258" s="105"/>
      <c r="AC258" s="109"/>
      <c r="AD258" s="107"/>
      <c r="AE258" s="102"/>
      <c r="AF258" s="109"/>
      <c r="AG258" s="107"/>
      <c r="AH258" s="111"/>
      <c r="AI258" s="111"/>
      <c r="AJ258" s="131" t="str">
        <f t="shared" ca="1" si="1"/>
        <v/>
      </c>
      <c r="AK258" s="102"/>
      <c r="AL258" s="102"/>
      <c r="AM258" s="105"/>
      <c r="AN258" s="105"/>
      <c r="AO258" s="105"/>
      <c r="AP258" s="109"/>
      <c r="AQ258" s="112"/>
      <c r="AR258" s="102"/>
      <c r="AS258" s="102"/>
      <c r="AT258" s="113"/>
      <c r="AU258" s="108"/>
      <c r="AV258" s="107"/>
      <c r="AW258" s="109"/>
      <c r="AX258" s="115">
        <f t="shared" si="2"/>
        <v>1900</v>
      </c>
      <c r="AY258" s="115">
        <f t="shared" si="3"/>
        <v>1900</v>
      </c>
    </row>
    <row r="259" spans="1:51" ht="22.5" customHeight="1">
      <c r="A259" s="102"/>
      <c r="B259" s="102"/>
      <c r="C259" s="102"/>
      <c r="D259" s="102"/>
      <c r="E259" s="102"/>
      <c r="F259" s="102"/>
      <c r="G259" s="102"/>
      <c r="H259" s="102"/>
      <c r="I259" s="102"/>
      <c r="J259" s="102"/>
      <c r="K259" s="104"/>
      <c r="L259" s="63" t="str">
        <f t="shared" ca="1" si="0"/>
        <v/>
      </c>
      <c r="M259" s="104"/>
      <c r="N259" s="105"/>
      <c r="O259" s="104"/>
      <c r="P259" s="102"/>
      <c r="Q259" s="111"/>
      <c r="R259" s="106"/>
      <c r="S259" s="107"/>
      <c r="T259" s="102"/>
      <c r="U259" s="102"/>
      <c r="V259" s="102"/>
      <c r="W259" s="105"/>
      <c r="X259" s="105"/>
      <c r="Y259" s="105"/>
      <c r="Z259" s="105"/>
      <c r="AA259" s="105"/>
      <c r="AB259" s="105"/>
      <c r="AC259" s="109"/>
      <c r="AD259" s="107"/>
      <c r="AE259" s="102"/>
      <c r="AF259" s="109"/>
      <c r="AG259" s="107"/>
      <c r="AH259" s="111"/>
      <c r="AI259" s="111"/>
      <c r="AJ259" s="131" t="str">
        <f t="shared" ca="1" si="1"/>
        <v/>
      </c>
      <c r="AK259" s="102"/>
      <c r="AL259" s="102"/>
      <c r="AM259" s="105"/>
      <c r="AN259" s="105"/>
      <c r="AO259" s="105"/>
      <c r="AP259" s="109"/>
      <c r="AQ259" s="112"/>
      <c r="AR259" s="102"/>
      <c r="AS259" s="102"/>
      <c r="AT259" s="113"/>
      <c r="AU259" s="108"/>
      <c r="AV259" s="107"/>
      <c r="AW259" s="109"/>
      <c r="AX259" s="115">
        <f t="shared" si="2"/>
        <v>1900</v>
      </c>
      <c r="AY259" s="115">
        <f t="shared" si="3"/>
        <v>1900</v>
      </c>
    </row>
    <row r="260" spans="1:51" ht="22.5" customHeight="1">
      <c r="A260" s="102"/>
      <c r="B260" s="102"/>
      <c r="C260" s="102"/>
      <c r="D260" s="102"/>
      <c r="E260" s="102"/>
      <c r="F260" s="102"/>
      <c r="G260" s="102"/>
      <c r="H260" s="102"/>
      <c r="I260" s="102"/>
      <c r="J260" s="102"/>
      <c r="K260" s="104"/>
      <c r="L260" s="63" t="str">
        <f t="shared" ref="L260:L504" ca="1" si="9">IF(K260="","",ROUNDDOWN(YEARFRAC(K260, TODAY(), 1), 0))</f>
        <v/>
      </c>
      <c r="M260" s="104"/>
      <c r="N260" s="105"/>
      <c r="O260" s="104"/>
      <c r="P260" s="102"/>
      <c r="Q260" s="111"/>
      <c r="R260" s="106"/>
      <c r="S260" s="107"/>
      <c r="T260" s="102"/>
      <c r="U260" s="102"/>
      <c r="V260" s="102"/>
      <c r="W260" s="105"/>
      <c r="X260" s="105"/>
      <c r="Y260" s="105"/>
      <c r="Z260" s="105"/>
      <c r="AA260" s="105"/>
      <c r="AB260" s="105"/>
      <c r="AC260" s="109"/>
      <c r="AD260" s="107"/>
      <c r="AE260" s="102"/>
      <c r="AF260" s="109"/>
      <c r="AG260" s="107"/>
      <c r="AH260" s="111"/>
      <c r="AI260" s="111"/>
      <c r="AJ260" s="131" t="str">
        <f t="shared" ref="AJ260:AJ504" ca="1" si="10">IF(AL260="Inactive",IF(AU260="", "", ROUNDDOWN(YEARFRAC(AH260, AU260, 1), 0)),IF(AH260="","",ROUNDDOWN(YEARFRAC(AH260, TODAY(), 1), 0)))</f>
        <v/>
      </c>
      <c r="AK260" s="102"/>
      <c r="AL260" s="102"/>
      <c r="AM260" s="105"/>
      <c r="AN260" s="105"/>
      <c r="AO260" s="105"/>
      <c r="AP260" s="109"/>
      <c r="AQ260" s="112"/>
      <c r="AR260" s="102"/>
      <c r="AS260" s="102"/>
      <c r="AT260" s="113"/>
      <c r="AU260" s="108"/>
      <c r="AV260" s="107"/>
      <c r="AW260" s="109"/>
      <c r="AX260" s="115">
        <f t="shared" ref="AX260:AX504" si="11">YEAR(AH260)</f>
        <v>1900</v>
      </c>
      <c r="AY260" s="115">
        <f t="shared" ref="AY260:AY504" si="12">YEAR(AU260)</f>
        <v>1900</v>
      </c>
    </row>
    <row r="261" spans="1:51" ht="22.5" customHeight="1">
      <c r="A261" s="102"/>
      <c r="B261" s="102"/>
      <c r="C261" s="102"/>
      <c r="D261" s="102"/>
      <c r="E261" s="102"/>
      <c r="F261" s="102"/>
      <c r="G261" s="102"/>
      <c r="H261" s="102"/>
      <c r="I261" s="102"/>
      <c r="J261" s="102"/>
      <c r="K261" s="104"/>
      <c r="L261" s="63" t="str">
        <f t="shared" ca="1" si="9"/>
        <v/>
      </c>
      <c r="M261" s="104"/>
      <c r="N261" s="105"/>
      <c r="O261" s="104"/>
      <c r="P261" s="102"/>
      <c r="Q261" s="111"/>
      <c r="R261" s="118"/>
      <c r="S261" s="107"/>
      <c r="T261" s="102"/>
      <c r="U261" s="102"/>
      <c r="V261" s="102"/>
      <c r="W261" s="105"/>
      <c r="X261" s="105"/>
      <c r="Y261" s="105"/>
      <c r="Z261" s="105"/>
      <c r="AA261" s="105"/>
      <c r="AB261" s="105"/>
      <c r="AC261" s="109"/>
      <c r="AD261" s="107"/>
      <c r="AE261" s="102"/>
      <c r="AF261" s="109"/>
      <c r="AG261" s="107"/>
      <c r="AH261" s="111"/>
      <c r="AI261" s="111"/>
      <c r="AJ261" s="131" t="str">
        <f t="shared" ca="1" si="10"/>
        <v/>
      </c>
      <c r="AK261" s="102"/>
      <c r="AL261" s="102"/>
      <c r="AM261" s="105"/>
      <c r="AN261" s="105"/>
      <c r="AO261" s="105"/>
      <c r="AP261" s="109"/>
      <c r="AQ261" s="112"/>
      <c r="AR261" s="102"/>
      <c r="AS261" s="102"/>
      <c r="AT261" s="113"/>
      <c r="AU261" s="108"/>
      <c r="AV261" s="107"/>
      <c r="AW261" s="109"/>
      <c r="AX261" s="115">
        <f t="shared" si="11"/>
        <v>1900</v>
      </c>
      <c r="AY261" s="115">
        <f t="shared" si="12"/>
        <v>1900</v>
      </c>
    </row>
    <row r="262" spans="1:51" ht="22.5" customHeight="1">
      <c r="A262" s="102"/>
      <c r="B262" s="102"/>
      <c r="C262" s="102"/>
      <c r="D262" s="102"/>
      <c r="E262" s="102"/>
      <c r="F262" s="102"/>
      <c r="G262" s="102"/>
      <c r="H262" s="102"/>
      <c r="I262" s="102"/>
      <c r="J262" s="102"/>
      <c r="K262" s="104"/>
      <c r="L262" s="63" t="str">
        <f t="shared" ca="1" si="9"/>
        <v/>
      </c>
      <c r="M262" s="104"/>
      <c r="N262" s="105"/>
      <c r="O262" s="104"/>
      <c r="P262" s="102"/>
      <c r="Q262" s="111"/>
      <c r="R262" s="118"/>
      <c r="S262" s="107"/>
      <c r="T262" s="102"/>
      <c r="U262" s="102"/>
      <c r="V262" s="102"/>
      <c r="W262" s="105"/>
      <c r="X262" s="105"/>
      <c r="Y262" s="105"/>
      <c r="Z262" s="105"/>
      <c r="AA262" s="105"/>
      <c r="AB262" s="105"/>
      <c r="AC262" s="109"/>
      <c r="AD262" s="107"/>
      <c r="AE262" s="102"/>
      <c r="AF262" s="109"/>
      <c r="AG262" s="107"/>
      <c r="AH262" s="111"/>
      <c r="AI262" s="111"/>
      <c r="AJ262" s="131" t="str">
        <f t="shared" ca="1" si="10"/>
        <v/>
      </c>
      <c r="AK262" s="102"/>
      <c r="AL262" s="102"/>
      <c r="AM262" s="105"/>
      <c r="AN262" s="105"/>
      <c r="AO262" s="105"/>
      <c r="AP262" s="109"/>
      <c r="AQ262" s="112"/>
      <c r="AR262" s="102"/>
      <c r="AS262" s="102"/>
      <c r="AT262" s="113"/>
      <c r="AU262" s="108"/>
      <c r="AV262" s="107"/>
      <c r="AW262" s="109"/>
      <c r="AX262" s="115">
        <f t="shared" si="11"/>
        <v>1900</v>
      </c>
      <c r="AY262" s="115">
        <f t="shared" si="12"/>
        <v>1900</v>
      </c>
    </row>
    <row r="263" spans="1:51" ht="22.5" customHeight="1">
      <c r="A263" s="102"/>
      <c r="B263" s="102"/>
      <c r="C263" s="102"/>
      <c r="D263" s="102"/>
      <c r="E263" s="102"/>
      <c r="F263" s="102"/>
      <c r="G263" s="102"/>
      <c r="H263" s="102"/>
      <c r="I263" s="102"/>
      <c r="J263" s="102"/>
      <c r="K263" s="104"/>
      <c r="L263" s="63" t="str">
        <f t="shared" ca="1" si="9"/>
        <v/>
      </c>
      <c r="M263" s="104"/>
      <c r="N263" s="105"/>
      <c r="O263" s="104"/>
      <c r="P263" s="102"/>
      <c r="Q263" s="111"/>
      <c r="R263" s="118"/>
      <c r="S263" s="107"/>
      <c r="T263" s="102"/>
      <c r="U263" s="102"/>
      <c r="V263" s="102"/>
      <c r="W263" s="105"/>
      <c r="X263" s="105"/>
      <c r="Y263" s="105"/>
      <c r="Z263" s="105"/>
      <c r="AA263" s="105"/>
      <c r="AB263" s="105"/>
      <c r="AC263" s="109"/>
      <c r="AD263" s="107"/>
      <c r="AE263" s="102"/>
      <c r="AF263" s="109"/>
      <c r="AG263" s="107"/>
      <c r="AH263" s="111"/>
      <c r="AI263" s="111"/>
      <c r="AJ263" s="131" t="str">
        <f t="shared" ca="1" si="10"/>
        <v/>
      </c>
      <c r="AK263" s="102"/>
      <c r="AL263" s="102"/>
      <c r="AM263" s="105"/>
      <c r="AN263" s="105"/>
      <c r="AO263" s="105"/>
      <c r="AP263" s="109"/>
      <c r="AQ263" s="112"/>
      <c r="AR263" s="102"/>
      <c r="AS263" s="102"/>
      <c r="AT263" s="113"/>
      <c r="AU263" s="108"/>
      <c r="AV263" s="107"/>
      <c r="AW263" s="109"/>
      <c r="AX263" s="115">
        <f t="shared" si="11"/>
        <v>1900</v>
      </c>
      <c r="AY263" s="115">
        <f t="shared" si="12"/>
        <v>1900</v>
      </c>
    </row>
    <row r="264" spans="1:51" ht="22.5" customHeight="1">
      <c r="A264" s="102"/>
      <c r="B264" s="102"/>
      <c r="C264" s="102"/>
      <c r="D264" s="102"/>
      <c r="E264" s="102"/>
      <c r="F264" s="102"/>
      <c r="G264" s="102"/>
      <c r="H264" s="102"/>
      <c r="I264" s="102"/>
      <c r="J264" s="102"/>
      <c r="K264" s="104"/>
      <c r="L264" s="63" t="str">
        <f t="shared" ca="1" si="9"/>
        <v/>
      </c>
      <c r="M264" s="104"/>
      <c r="N264" s="105"/>
      <c r="O264" s="104"/>
      <c r="P264" s="102"/>
      <c r="Q264" s="111"/>
      <c r="R264" s="118"/>
      <c r="S264" s="107"/>
      <c r="T264" s="102"/>
      <c r="U264" s="102"/>
      <c r="V264" s="102"/>
      <c r="W264" s="105"/>
      <c r="X264" s="105"/>
      <c r="Y264" s="105"/>
      <c r="Z264" s="105"/>
      <c r="AA264" s="105"/>
      <c r="AB264" s="105"/>
      <c r="AC264" s="109"/>
      <c r="AD264" s="107"/>
      <c r="AE264" s="102"/>
      <c r="AF264" s="109"/>
      <c r="AG264" s="107"/>
      <c r="AH264" s="111"/>
      <c r="AI264" s="111"/>
      <c r="AJ264" s="131" t="str">
        <f t="shared" ca="1" si="10"/>
        <v/>
      </c>
      <c r="AK264" s="102"/>
      <c r="AL264" s="102"/>
      <c r="AM264" s="105"/>
      <c r="AN264" s="105"/>
      <c r="AO264" s="105"/>
      <c r="AP264" s="109"/>
      <c r="AQ264" s="112"/>
      <c r="AR264" s="102"/>
      <c r="AS264" s="102"/>
      <c r="AT264" s="113"/>
      <c r="AU264" s="108"/>
      <c r="AV264" s="107"/>
      <c r="AW264" s="109"/>
      <c r="AX264" s="115">
        <f t="shared" si="11"/>
        <v>1900</v>
      </c>
      <c r="AY264" s="115">
        <f t="shared" si="12"/>
        <v>1900</v>
      </c>
    </row>
    <row r="265" spans="1:51" ht="22.5" customHeight="1">
      <c r="A265" s="102"/>
      <c r="B265" s="102"/>
      <c r="C265" s="102"/>
      <c r="D265" s="102"/>
      <c r="E265" s="102"/>
      <c r="F265" s="102"/>
      <c r="G265" s="102"/>
      <c r="H265" s="102"/>
      <c r="I265" s="102"/>
      <c r="J265" s="102"/>
      <c r="K265" s="104"/>
      <c r="L265" s="63" t="str">
        <f t="shared" ca="1" si="9"/>
        <v/>
      </c>
      <c r="M265" s="104"/>
      <c r="N265" s="105"/>
      <c r="O265" s="104"/>
      <c r="P265" s="102"/>
      <c r="Q265" s="111"/>
      <c r="R265" s="118"/>
      <c r="S265" s="107"/>
      <c r="T265" s="102"/>
      <c r="U265" s="102"/>
      <c r="V265" s="102"/>
      <c r="W265" s="105"/>
      <c r="X265" s="105"/>
      <c r="Y265" s="105"/>
      <c r="Z265" s="105"/>
      <c r="AA265" s="105"/>
      <c r="AB265" s="105"/>
      <c r="AC265" s="109"/>
      <c r="AD265" s="107"/>
      <c r="AE265" s="102"/>
      <c r="AF265" s="109"/>
      <c r="AG265" s="107"/>
      <c r="AH265" s="111"/>
      <c r="AI265" s="111"/>
      <c r="AJ265" s="131" t="str">
        <f t="shared" ca="1" si="10"/>
        <v/>
      </c>
      <c r="AK265" s="102"/>
      <c r="AL265" s="102"/>
      <c r="AM265" s="105"/>
      <c r="AN265" s="105"/>
      <c r="AO265" s="105"/>
      <c r="AP265" s="109"/>
      <c r="AQ265" s="112"/>
      <c r="AR265" s="102"/>
      <c r="AS265" s="102"/>
      <c r="AT265" s="113"/>
      <c r="AU265" s="108"/>
      <c r="AV265" s="107"/>
      <c r="AW265" s="109"/>
      <c r="AX265" s="115">
        <f t="shared" si="11"/>
        <v>1900</v>
      </c>
      <c r="AY265" s="115">
        <f t="shared" si="12"/>
        <v>1900</v>
      </c>
    </row>
    <row r="266" spans="1:51" ht="22.5" customHeight="1">
      <c r="A266" s="102"/>
      <c r="B266" s="102"/>
      <c r="C266" s="102"/>
      <c r="D266" s="102"/>
      <c r="E266" s="102"/>
      <c r="F266" s="102"/>
      <c r="G266" s="102"/>
      <c r="H266" s="102"/>
      <c r="I266" s="102"/>
      <c r="J266" s="102"/>
      <c r="K266" s="104"/>
      <c r="L266" s="63" t="str">
        <f t="shared" ca="1" si="9"/>
        <v/>
      </c>
      <c r="M266" s="104"/>
      <c r="N266" s="105"/>
      <c r="O266" s="104"/>
      <c r="P266" s="102"/>
      <c r="Q266" s="111"/>
      <c r="R266" s="118"/>
      <c r="S266" s="107"/>
      <c r="T266" s="102"/>
      <c r="U266" s="102"/>
      <c r="V266" s="102"/>
      <c r="W266" s="105"/>
      <c r="X266" s="105"/>
      <c r="Y266" s="105"/>
      <c r="Z266" s="105"/>
      <c r="AA266" s="105"/>
      <c r="AB266" s="105"/>
      <c r="AC266" s="109"/>
      <c r="AD266" s="107"/>
      <c r="AE266" s="102"/>
      <c r="AF266" s="109"/>
      <c r="AG266" s="107"/>
      <c r="AH266" s="111"/>
      <c r="AI266" s="111"/>
      <c r="AJ266" s="131" t="str">
        <f t="shared" ca="1" si="10"/>
        <v/>
      </c>
      <c r="AK266" s="102"/>
      <c r="AL266" s="102"/>
      <c r="AM266" s="105"/>
      <c r="AN266" s="105"/>
      <c r="AO266" s="105"/>
      <c r="AP266" s="109"/>
      <c r="AQ266" s="112"/>
      <c r="AR266" s="102"/>
      <c r="AS266" s="102"/>
      <c r="AT266" s="113"/>
      <c r="AU266" s="108"/>
      <c r="AV266" s="107"/>
      <c r="AW266" s="109"/>
      <c r="AX266" s="115">
        <f t="shared" si="11"/>
        <v>1900</v>
      </c>
      <c r="AY266" s="115">
        <f t="shared" si="12"/>
        <v>1900</v>
      </c>
    </row>
    <row r="267" spans="1:51" ht="22.5" customHeight="1">
      <c r="A267" s="102"/>
      <c r="B267" s="102"/>
      <c r="C267" s="102"/>
      <c r="D267" s="102"/>
      <c r="E267" s="102"/>
      <c r="F267" s="102"/>
      <c r="G267" s="102"/>
      <c r="H267" s="102"/>
      <c r="I267" s="102"/>
      <c r="J267" s="102"/>
      <c r="K267" s="104"/>
      <c r="L267" s="63" t="str">
        <f t="shared" ca="1" si="9"/>
        <v/>
      </c>
      <c r="M267" s="104"/>
      <c r="N267" s="105"/>
      <c r="O267" s="104"/>
      <c r="P267" s="102"/>
      <c r="Q267" s="111"/>
      <c r="R267" s="118"/>
      <c r="S267" s="107"/>
      <c r="T267" s="102"/>
      <c r="U267" s="102"/>
      <c r="V267" s="102"/>
      <c r="W267" s="105"/>
      <c r="X267" s="105"/>
      <c r="Y267" s="105"/>
      <c r="Z267" s="105"/>
      <c r="AA267" s="105"/>
      <c r="AB267" s="105"/>
      <c r="AC267" s="109"/>
      <c r="AD267" s="107"/>
      <c r="AE267" s="102"/>
      <c r="AF267" s="109"/>
      <c r="AG267" s="107"/>
      <c r="AH267" s="111"/>
      <c r="AI267" s="111"/>
      <c r="AJ267" s="131" t="str">
        <f t="shared" ca="1" si="10"/>
        <v/>
      </c>
      <c r="AK267" s="102"/>
      <c r="AL267" s="102"/>
      <c r="AM267" s="105"/>
      <c r="AN267" s="105"/>
      <c r="AO267" s="105"/>
      <c r="AP267" s="109"/>
      <c r="AQ267" s="112"/>
      <c r="AR267" s="102"/>
      <c r="AS267" s="102"/>
      <c r="AT267" s="113"/>
      <c r="AU267" s="108"/>
      <c r="AV267" s="107"/>
      <c r="AW267" s="109"/>
      <c r="AX267" s="115">
        <f t="shared" si="11"/>
        <v>1900</v>
      </c>
      <c r="AY267" s="115">
        <f t="shared" si="12"/>
        <v>1900</v>
      </c>
    </row>
    <row r="268" spans="1:51" ht="22.5" customHeight="1">
      <c r="A268" s="102"/>
      <c r="B268" s="102"/>
      <c r="C268" s="102"/>
      <c r="D268" s="102"/>
      <c r="E268" s="102"/>
      <c r="F268" s="102"/>
      <c r="G268" s="102"/>
      <c r="H268" s="102"/>
      <c r="I268" s="102"/>
      <c r="J268" s="102"/>
      <c r="K268" s="104"/>
      <c r="L268" s="63" t="str">
        <f t="shared" ca="1" si="9"/>
        <v/>
      </c>
      <c r="M268" s="104"/>
      <c r="N268" s="105"/>
      <c r="O268" s="104"/>
      <c r="P268" s="102"/>
      <c r="Q268" s="111"/>
      <c r="R268" s="118"/>
      <c r="S268" s="107"/>
      <c r="T268" s="102"/>
      <c r="U268" s="102"/>
      <c r="V268" s="102"/>
      <c r="W268" s="105"/>
      <c r="X268" s="105"/>
      <c r="Y268" s="105"/>
      <c r="Z268" s="105"/>
      <c r="AA268" s="105"/>
      <c r="AB268" s="105"/>
      <c r="AC268" s="109"/>
      <c r="AD268" s="107"/>
      <c r="AE268" s="102"/>
      <c r="AF268" s="109"/>
      <c r="AG268" s="107"/>
      <c r="AH268" s="111"/>
      <c r="AI268" s="111"/>
      <c r="AJ268" s="131" t="str">
        <f t="shared" ca="1" si="10"/>
        <v/>
      </c>
      <c r="AK268" s="102"/>
      <c r="AL268" s="102"/>
      <c r="AM268" s="105"/>
      <c r="AN268" s="105"/>
      <c r="AO268" s="105"/>
      <c r="AP268" s="109"/>
      <c r="AQ268" s="112"/>
      <c r="AR268" s="102"/>
      <c r="AS268" s="102"/>
      <c r="AT268" s="113"/>
      <c r="AU268" s="108"/>
      <c r="AV268" s="107"/>
      <c r="AW268" s="109"/>
      <c r="AX268" s="115">
        <f t="shared" si="11"/>
        <v>1900</v>
      </c>
      <c r="AY268" s="115">
        <f t="shared" si="12"/>
        <v>1900</v>
      </c>
    </row>
    <row r="269" spans="1:51" ht="22.5" customHeight="1">
      <c r="A269" s="102"/>
      <c r="B269" s="102"/>
      <c r="C269" s="102"/>
      <c r="D269" s="102"/>
      <c r="E269" s="102"/>
      <c r="F269" s="102"/>
      <c r="G269" s="102"/>
      <c r="H269" s="102"/>
      <c r="I269" s="102"/>
      <c r="J269" s="102"/>
      <c r="K269" s="104"/>
      <c r="L269" s="63" t="str">
        <f t="shared" ca="1" si="9"/>
        <v/>
      </c>
      <c r="M269" s="104"/>
      <c r="N269" s="105"/>
      <c r="O269" s="104"/>
      <c r="P269" s="102"/>
      <c r="Q269" s="111"/>
      <c r="R269" s="118"/>
      <c r="S269" s="107"/>
      <c r="T269" s="102"/>
      <c r="U269" s="102"/>
      <c r="V269" s="102"/>
      <c r="W269" s="105"/>
      <c r="X269" s="105"/>
      <c r="Y269" s="105"/>
      <c r="Z269" s="105"/>
      <c r="AA269" s="105"/>
      <c r="AB269" s="105"/>
      <c r="AC269" s="109"/>
      <c r="AD269" s="107"/>
      <c r="AE269" s="102"/>
      <c r="AF269" s="109"/>
      <c r="AG269" s="107"/>
      <c r="AH269" s="111"/>
      <c r="AI269" s="111"/>
      <c r="AJ269" s="131" t="str">
        <f t="shared" ca="1" si="10"/>
        <v/>
      </c>
      <c r="AK269" s="102"/>
      <c r="AL269" s="102"/>
      <c r="AM269" s="105"/>
      <c r="AN269" s="105"/>
      <c r="AO269" s="105"/>
      <c r="AP269" s="109"/>
      <c r="AQ269" s="112"/>
      <c r="AR269" s="102"/>
      <c r="AS269" s="102"/>
      <c r="AT269" s="113"/>
      <c r="AU269" s="108"/>
      <c r="AV269" s="107"/>
      <c r="AW269" s="109"/>
      <c r="AX269" s="115">
        <f t="shared" si="11"/>
        <v>1900</v>
      </c>
      <c r="AY269" s="115">
        <f t="shared" si="12"/>
        <v>1900</v>
      </c>
    </row>
    <row r="270" spans="1:51" ht="22.5" customHeight="1">
      <c r="A270" s="102"/>
      <c r="B270" s="102"/>
      <c r="C270" s="102"/>
      <c r="D270" s="102"/>
      <c r="E270" s="102"/>
      <c r="F270" s="102"/>
      <c r="G270" s="102"/>
      <c r="H270" s="102"/>
      <c r="I270" s="102"/>
      <c r="J270" s="102"/>
      <c r="K270" s="104"/>
      <c r="L270" s="63" t="str">
        <f t="shared" ca="1" si="9"/>
        <v/>
      </c>
      <c r="M270" s="104"/>
      <c r="N270" s="105"/>
      <c r="O270" s="104"/>
      <c r="P270" s="102"/>
      <c r="Q270" s="111"/>
      <c r="R270" s="118"/>
      <c r="S270" s="107"/>
      <c r="T270" s="102"/>
      <c r="U270" s="102"/>
      <c r="V270" s="102"/>
      <c r="W270" s="105"/>
      <c r="X270" s="105"/>
      <c r="Y270" s="105"/>
      <c r="Z270" s="105"/>
      <c r="AA270" s="105"/>
      <c r="AB270" s="105"/>
      <c r="AC270" s="109"/>
      <c r="AD270" s="107"/>
      <c r="AE270" s="102"/>
      <c r="AF270" s="109"/>
      <c r="AG270" s="107"/>
      <c r="AH270" s="111"/>
      <c r="AI270" s="111"/>
      <c r="AJ270" s="131" t="str">
        <f t="shared" ca="1" si="10"/>
        <v/>
      </c>
      <c r="AK270" s="102"/>
      <c r="AL270" s="102"/>
      <c r="AM270" s="105"/>
      <c r="AN270" s="105"/>
      <c r="AO270" s="105"/>
      <c r="AP270" s="109"/>
      <c r="AQ270" s="112"/>
      <c r="AR270" s="102"/>
      <c r="AS270" s="102"/>
      <c r="AT270" s="113"/>
      <c r="AU270" s="108"/>
      <c r="AV270" s="107"/>
      <c r="AW270" s="109"/>
      <c r="AX270" s="115">
        <f t="shared" si="11"/>
        <v>1900</v>
      </c>
      <c r="AY270" s="115">
        <f t="shared" si="12"/>
        <v>1900</v>
      </c>
    </row>
    <row r="271" spans="1:51" ht="22.5" customHeight="1">
      <c r="A271" s="102"/>
      <c r="B271" s="102"/>
      <c r="C271" s="102"/>
      <c r="D271" s="102"/>
      <c r="E271" s="102"/>
      <c r="F271" s="102"/>
      <c r="G271" s="102"/>
      <c r="H271" s="102"/>
      <c r="I271" s="102"/>
      <c r="J271" s="102"/>
      <c r="K271" s="104"/>
      <c r="L271" s="63" t="str">
        <f t="shared" ca="1" si="9"/>
        <v/>
      </c>
      <c r="M271" s="104"/>
      <c r="N271" s="105"/>
      <c r="O271" s="104"/>
      <c r="P271" s="102"/>
      <c r="Q271" s="111"/>
      <c r="R271" s="118"/>
      <c r="S271" s="107"/>
      <c r="T271" s="102"/>
      <c r="U271" s="102"/>
      <c r="V271" s="102"/>
      <c r="W271" s="105"/>
      <c r="X271" s="105"/>
      <c r="Y271" s="105"/>
      <c r="Z271" s="105"/>
      <c r="AA271" s="105"/>
      <c r="AB271" s="105"/>
      <c r="AC271" s="109"/>
      <c r="AD271" s="107"/>
      <c r="AE271" s="102"/>
      <c r="AF271" s="109"/>
      <c r="AG271" s="107"/>
      <c r="AH271" s="111"/>
      <c r="AI271" s="111"/>
      <c r="AJ271" s="131" t="str">
        <f t="shared" ca="1" si="10"/>
        <v/>
      </c>
      <c r="AK271" s="102"/>
      <c r="AL271" s="102"/>
      <c r="AM271" s="105"/>
      <c r="AN271" s="105"/>
      <c r="AO271" s="105"/>
      <c r="AP271" s="109"/>
      <c r="AQ271" s="112"/>
      <c r="AR271" s="102"/>
      <c r="AS271" s="102"/>
      <c r="AT271" s="113"/>
      <c r="AU271" s="108"/>
      <c r="AV271" s="107"/>
      <c r="AW271" s="109"/>
      <c r="AX271" s="115">
        <f t="shared" si="11"/>
        <v>1900</v>
      </c>
      <c r="AY271" s="115">
        <f t="shared" si="12"/>
        <v>1900</v>
      </c>
    </row>
    <row r="272" spans="1:51" ht="22.5" customHeight="1">
      <c r="A272" s="102"/>
      <c r="B272" s="102"/>
      <c r="C272" s="102"/>
      <c r="D272" s="102"/>
      <c r="E272" s="102"/>
      <c r="F272" s="102"/>
      <c r="G272" s="102"/>
      <c r="H272" s="102"/>
      <c r="I272" s="102"/>
      <c r="J272" s="102"/>
      <c r="K272" s="104"/>
      <c r="L272" s="63" t="str">
        <f t="shared" ca="1" si="9"/>
        <v/>
      </c>
      <c r="M272" s="104"/>
      <c r="N272" s="105"/>
      <c r="O272" s="104"/>
      <c r="P272" s="102"/>
      <c r="Q272" s="111"/>
      <c r="R272" s="118"/>
      <c r="S272" s="107"/>
      <c r="T272" s="102"/>
      <c r="U272" s="102"/>
      <c r="V272" s="102"/>
      <c r="W272" s="105"/>
      <c r="X272" s="105"/>
      <c r="Y272" s="105"/>
      <c r="Z272" s="105"/>
      <c r="AA272" s="105"/>
      <c r="AB272" s="105"/>
      <c r="AC272" s="109"/>
      <c r="AD272" s="107"/>
      <c r="AE272" s="102"/>
      <c r="AF272" s="109"/>
      <c r="AG272" s="107"/>
      <c r="AH272" s="111"/>
      <c r="AI272" s="111"/>
      <c r="AJ272" s="131" t="str">
        <f t="shared" ca="1" si="10"/>
        <v/>
      </c>
      <c r="AK272" s="102"/>
      <c r="AL272" s="102"/>
      <c r="AM272" s="105"/>
      <c r="AN272" s="105"/>
      <c r="AO272" s="105"/>
      <c r="AP272" s="109"/>
      <c r="AQ272" s="112"/>
      <c r="AR272" s="102"/>
      <c r="AS272" s="102"/>
      <c r="AT272" s="113"/>
      <c r="AU272" s="108"/>
      <c r="AV272" s="107"/>
      <c r="AW272" s="109"/>
      <c r="AX272" s="115">
        <f t="shared" si="11"/>
        <v>1900</v>
      </c>
      <c r="AY272" s="115">
        <f t="shared" si="12"/>
        <v>1900</v>
      </c>
    </row>
    <row r="273" spans="1:51" ht="22.5" customHeight="1">
      <c r="A273" s="102"/>
      <c r="B273" s="102"/>
      <c r="C273" s="102"/>
      <c r="D273" s="102"/>
      <c r="E273" s="102"/>
      <c r="F273" s="102"/>
      <c r="G273" s="102"/>
      <c r="H273" s="102"/>
      <c r="I273" s="102"/>
      <c r="J273" s="102"/>
      <c r="K273" s="104"/>
      <c r="L273" s="63" t="str">
        <f t="shared" ca="1" si="9"/>
        <v/>
      </c>
      <c r="M273" s="104"/>
      <c r="N273" s="105"/>
      <c r="O273" s="104"/>
      <c r="P273" s="102"/>
      <c r="Q273" s="111"/>
      <c r="R273" s="118"/>
      <c r="S273" s="107"/>
      <c r="T273" s="102"/>
      <c r="U273" s="102"/>
      <c r="V273" s="102"/>
      <c r="W273" s="105"/>
      <c r="X273" s="105"/>
      <c r="Y273" s="105"/>
      <c r="Z273" s="105"/>
      <c r="AA273" s="105"/>
      <c r="AB273" s="105"/>
      <c r="AC273" s="109"/>
      <c r="AD273" s="107"/>
      <c r="AE273" s="102"/>
      <c r="AF273" s="109"/>
      <c r="AG273" s="107"/>
      <c r="AH273" s="111"/>
      <c r="AI273" s="111"/>
      <c r="AJ273" s="131" t="str">
        <f t="shared" ca="1" si="10"/>
        <v/>
      </c>
      <c r="AK273" s="102"/>
      <c r="AL273" s="102"/>
      <c r="AM273" s="105"/>
      <c r="AN273" s="105"/>
      <c r="AO273" s="105"/>
      <c r="AP273" s="109"/>
      <c r="AQ273" s="112"/>
      <c r="AR273" s="102"/>
      <c r="AS273" s="102"/>
      <c r="AT273" s="113"/>
      <c r="AU273" s="108"/>
      <c r="AV273" s="107"/>
      <c r="AW273" s="109"/>
      <c r="AX273" s="115">
        <f t="shared" si="11"/>
        <v>1900</v>
      </c>
      <c r="AY273" s="115">
        <f t="shared" si="12"/>
        <v>1900</v>
      </c>
    </row>
    <row r="274" spans="1:51" ht="22.5" customHeight="1">
      <c r="A274" s="102"/>
      <c r="B274" s="102"/>
      <c r="C274" s="102"/>
      <c r="D274" s="102"/>
      <c r="E274" s="102"/>
      <c r="F274" s="102"/>
      <c r="G274" s="102"/>
      <c r="H274" s="102"/>
      <c r="I274" s="102"/>
      <c r="J274" s="102"/>
      <c r="K274" s="104"/>
      <c r="L274" s="63" t="str">
        <f t="shared" ca="1" si="9"/>
        <v/>
      </c>
      <c r="M274" s="104"/>
      <c r="N274" s="105"/>
      <c r="O274" s="104"/>
      <c r="P274" s="102"/>
      <c r="Q274" s="111"/>
      <c r="R274" s="118"/>
      <c r="S274" s="107"/>
      <c r="T274" s="102"/>
      <c r="U274" s="102"/>
      <c r="V274" s="102"/>
      <c r="W274" s="105"/>
      <c r="X274" s="105"/>
      <c r="Y274" s="105"/>
      <c r="Z274" s="105"/>
      <c r="AA274" s="105"/>
      <c r="AB274" s="105"/>
      <c r="AC274" s="109"/>
      <c r="AD274" s="107"/>
      <c r="AE274" s="102"/>
      <c r="AF274" s="109"/>
      <c r="AG274" s="107"/>
      <c r="AH274" s="111"/>
      <c r="AI274" s="111"/>
      <c r="AJ274" s="131" t="str">
        <f t="shared" ca="1" si="10"/>
        <v/>
      </c>
      <c r="AK274" s="102"/>
      <c r="AL274" s="102"/>
      <c r="AM274" s="105"/>
      <c r="AN274" s="105"/>
      <c r="AO274" s="105"/>
      <c r="AP274" s="109"/>
      <c r="AQ274" s="112"/>
      <c r="AR274" s="102"/>
      <c r="AS274" s="102"/>
      <c r="AT274" s="113"/>
      <c r="AU274" s="108"/>
      <c r="AV274" s="107"/>
      <c r="AW274" s="109"/>
      <c r="AX274" s="115">
        <f t="shared" si="11"/>
        <v>1900</v>
      </c>
      <c r="AY274" s="115">
        <f t="shared" si="12"/>
        <v>1900</v>
      </c>
    </row>
    <row r="275" spans="1:51" ht="22.5" customHeight="1">
      <c r="A275" s="102"/>
      <c r="B275" s="102"/>
      <c r="C275" s="102"/>
      <c r="D275" s="102"/>
      <c r="E275" s="102"/>
      <c r="F275" s="102"/>
      <c r="G275" s="102"/>
      <c r="H275" s="102"/>
      <c r="I275" s="102"/>
      <c r="J275" s="102"/>
      <c r="K275" s="104"/>
      <c r="L275" s="63" t="str">
        <f t="shared" ca="1" si="9"/>
        <v/>
      </c>
      <c r="M275" s="104"/>
      <c r="N275" s="105"/>
      <c r="O275" s="104"/>
      <c r="P275" s="102"/>
      <c r="Q275" s="111"/>
      <c r="R275" s="118"/>
      <c r="S275" s="107"/>
      <c r="T275" s="102"/>
      <c r="U275" s="102"/>
      <c r="V275" s="102"/>
      <c r="W275" s="105"/>
      <c r="X275" s="105"/>
      <c r="Y275" s="105"/>
      <c r="Z275" s="105"/>
      <c r="AA275" s="105"/>
      <c r="AB275" s="105"/>
      <c r="AC275" s="109"/>
      <c r="AD275" s="107"/>
      <c r="AE275" s="102"/>
      <c r="AF275" s="109"/>
      <c r="AG275" s="107"/>
      <c r="AH275" s="111"/>
      <c r="AI275" s="111"/>
      <c r="AJ275" s="131" t="str">
        <f t="shared" ca="1" si="10"/>
        <v/>
      </c>
      <c r="AK275" s="102"/>
      <c r="AL275" s="102"/>
      <c r="AM275" s="105"/>
      <c r="AN275" s="105"/>
      <c r="AO275" s="105"/>
      <c r="AP275" s="109"/>
      <c r="AQ275" s="112"/>
      <c r="AR275" s="102"/>
      <c r="AS275" s="102"/>
      <c r="AT275" s="113"/>
      <c r="AU275" s="108"/>
      <c r="AV275" s="107"/>
      <c r="AW275" s="109"/>
      <c r="AX275" s="115">
        <f t="shared" si="11"/>
        <v>1900</v>
      </c>
      <c r="AY275" s="115">
        <f t="shared" si="12"/>
        <v>1900</v>
      </c>
    </row>
    <row r="276" spans="1:51" ht="22.5" customHeight="1">
      <c r="A276" s="102"/>
      <c r="B276" s="102"/>
      <c r="C276" s="102"/>
      <c r="D276" s="102"/>
      <c r="E276" s="102"/>
      <c r="F276" s="102"/>
      <c r="G276" s="102"/>
      <c r="H276" s="102"/>
      <c r="I276" s="102"/>
      <c r="J276" s="102"/>
      <c r="K276" s="104"/>
      <c r="L276" s="63" t="str">
        <f t="shared" ca="1" si="9"/>
        <v/>
      </c>
      <c r="M276" s="104"/>
      <c r="N276" s="105"/>
      <c r="O276" s="104"/>
      <c r="P276" s="102"/>
      <c r="Q276" s="111"/>
      <c r="R276" s="118"/>
      <c r="S276" s="107"/>
      <c r="T276" s="102"/>
      <c r="U276" s="102"/>
      <c r="V276" s="102"/>
      <c r="W276" s="105"/>
      <c r="X276" s="105"/>
      <c r="Y276" s="105"/>
      <c r="Z276" s="105"/>
      <c r="AA276" s="105"/>
      <c r="AB276" s="105"/>
      <c r="AC276" s="109"/>
      <c r="AD276" s="107"/>
      <c r="AE276" s="102"/>
      <c r="AF276" s="109"/>
      <c r="AG276" s="107"/>
      <c r="AH276" s="111"/>
      <c r="AI276" s="111"/>
      <c r="AJ276" s="131" t="str">
        <f t="shared" ca="1" si="10"/>
        <v/>
      </c>
      <c r="AK276" s="102"/>
      <c r="AL276" s="102"/>
      <c r="AM276" s="105"/>
      <c r="AN276" s="105"/>
      <c r="AO276" s="105"/>
      <c r="AP276" s="109"/>
      <c r="AQ276" s="112"/>
      <c r="AR276" s="102"/>
      <c r="AS276" s="102"/>
      <c r="AT276" s="113"/>
      <c r="AU276" s="108"/>
      <c r="AV276" s="107"/>
      <c r="AW276" s="109"/>
      <c r="AX276" s="115">
        <f t="shared" si="11"/>
        <v>1900</v>
      </c>
      <c r="AY276" s="115">
        <f t="shared" si="12"/>
        <v>1900</v>
      </c>
    </row>
    <row r="277" spans="1:51" ht="22.5" customHeight="1">
      <c r="A277" s="102"/>
      <c r="B277" s="102"/>
      <c r="C277" s="102"/>
      <c r="D277" s="102"/>
      <c r="E277" s="102"/>
      <c r="F277" s="102"/>
      <c r="G277" s="102"/>
      <c r="H277" s="102"/>
      <c r="I277" s="102"/>
      <c r="J277" s="102"/>
      <c r="K277" s="104"/>
      <c r="L277" s="63" t="str">
        <f t="shared" ca="1" si="9"/>
        <v/>
      </c>
      <c r="M277" s="104"/>
      <c r="N277" s="105"/>
      <c r="O277" s="104"/>
      <c r="P277" s="102"/>
      <c r="Q277" s="111"/>
      <c r="R277" s="118"/>
      <c r="S277" s="107"/>
      <c r="T277" s="102"/>
      <c r="U277" s="102"/>
      <c r="V277" s="102"/>
      <c r="W277" s="105"/>
      <c r="X277" s="105"/>
      <c r="Y277" s="105"/>
      <c r="Z277" s="105"/>
      <c r="AA277" s="105"/>
      <c r="AB277" s="105"/>
      <c r="AC277" s="109"/>
      <c r="AD277" s="107"/>
      <c r="AE277" s="102"/>
      <c r="AF277" s="109"/>
      <c r="AG277" s="107"/>
      <c r="AH277" s="111"/>
      <c r="AI277" s="111"/>
      <c r="AJ277" s="131" t="str">
        <f t="shared" ca="1" si="10"/>
        <v/>
      </c>
      <c r="AK277" s="102"/>
      <c r="AL277" s="102"/>
      <c r="AM277" s="105"/>
      <c r="AN277" s="105"/>
      <c r="AO277" s="105"/>
      <c r="AP277" s="109"/>
      <c r="AQ277" s="112"/>
      <c r="AR277" s="102"/>
      <c r="AS277" s="102"/>
      <c r="AT277" s="113"/>
      <c r="AU277" s="108"/>
      <c r="AV277" s="107"/>
      <c r="AW277" s="109"/>
      <c r="AX277" s="115">
        <f t="shared" si="11"/>
        <v>1900</v>
      </c>
      <c r="AY277" s="115">
        <f t="shared" si="12"/>
        <v>1900</v>
      </c>
    </row>
    <row r="278" spans="1:51" ht="22.5" customHeight="1">
      <c r="A278" s="102"/>
      <c r="B278" s="102"/>
      <c r="C278" s="102"/>
      <c r="D278" s="102"/>
      <c r="E278" s="102"/>
      <c r="F278" s="102"/>
      <c r="G278" s="102"/>
      <c r="H278" s="102"/>
      <c r="I278" s="102"/>
      <c r="J278" s="102"/>
      <c r="K278" s="104"/>
      <c r="L278" s="63" t="str">
        <f t="shared" ca="1" si="9"/>
        <v/>
      </c>
      <c r="M278" s="104"/>
      <c r="N278" s="105"/>
      <c r="O278" s="104"/>
      <c r="P278" s="102"/>
      <c r="Q278" s="111"/>
      <c r="R278" s="118"/>
      <c r="S278" s="107"/>
      <c r="T278" s="102"/>
      <c r="U278" s="102"/>
      <c r="V278" s="102"/>
      <c r="W278" s="105"/>
      <c r="X278" s="105"/>
      <c r="Y278" s="105"/>
      <c r="Z278" s="105"/>
      <c r="AA278" s="105"/>
      <c r="AB278" s="105"/>
      <c r="AC278" s="109"/>
      <c r="AD278" s="107"/>
      <c r="AE278" s="102"/>
      <c r="AF278" s="109"/>
      <c r="AG278" s="107"/>
      <c r="AH278" s="111"/>
      <c r="AI278" s="111"/>
      <c r="AJ278" s="131" t="str">
        <f t="shared" ca="1" si="10"/>
        <v/>
      </c>
      <c r="AK278" s="102"/>
      <c r="AL278" s="102"/>
      <c r="AM278" s="105"/>
      <c r="AN278" s="105"/>
      <c r="AO278" s="105"/>
      <c r="AP278" s="109"/>
      <c r="AQ278" s="112"/>
      <c r="AR278" s="102"/>
      <c r="AS278" s="102"/>
      <c r="AT278" s="113"/>
      <c r="AU278" s="108"/>
      <c r="AV278" s="107"/>
      <c r="AW278" s="109"/>
      <c r="AX278" s="115">
        <f t="shared" si="11"/>
        <v>1900</v>
      </c>
      <c r="AY278" s="115">
        <f t="shared" si="12"/>
        <v>1900</v>
      </c>
    </row>
    <row r="279" spans="1:51" ht="22.5" customHeight="1">
      <c r="A279" s="102"/>
      <c r="B279" s="102"/>
      <c r="C279" s="102"/>
      <c r="D279" s="102"/>
      <c r="E279" s="102"/>
      <c r="F279" s="102"/>
      <c r="G279" s="102"/>
      <c r="H279" s="102"/>
      <c r="I279" s="102"/>
      <c r="J279" s="102"/>
      <c r="K279" s="104"/>
      <c r="L279" s="63" t="str">
        <f t="shared" ca="1" si="9"/>
        <v/>
      </c>
      <c r="M279" s="104"/>
      <c r="N279" s="105"/>
      <c r="O279" s="104"/>
      <c r="P279" s="102"/>
      <c r="Q279" s="111"/>
      <c r="R279" s="118"/>
      <c r="S279" s="107"/>
      <c r="T279" s="102"/>
      <c r="U279" s="102"/>
      <c r="V279" s="102"/>
      <c r="W279" s="105"/>
      <c r="X279" s="105"/>
      <c r="Y279" s="105"/>
      <c r="Z279" s="105"/>
      <c r="AA279" s="105"/>
      <c r="AB279" s="105"/>
      <c r="AC279" s="109"/>
      <c r="AD279" s="107"/>
      <c r="AE279" s="102"/>
      <c r="AF279" s="109"/>
      <c r="AG279" s="107"/>
      <c r="AH279" s="111"/>
      <c r="AI279" s="111"/>
      <c r="AJ279" s="131" t="str">
        <f t="shared" ca="1" si="10"/>
        <v/>
      </c>
      <c r="AK279" s="102"/>
      <c r="AL279" s="102"/>
      <c r="AM279" s="105"/>
      <c r="AN279" s="105"/>
      <c r="AO279" s="105"/>
      <c r="AP279" s="109"/>
      <c r="AQ279" s="112"/>
      <c r="AR279" s="102"/>
      <c r="AS279" s="102"/>
      <c r="AT279" s="113"/>
      <c r="AU279" s="108"/>
      <c r="AV279" s="107"/>
      <c r="AW279" s="109"/>
      <c r="AX279" s="115">
        <f t="shared" si="11"/>
        <v>1900</v>
      </c>
      <c r="AY279" s="115">
        <f t="shared" si="12"/>
        <v>1900</v>
      </c>
    </row>
    <row r="280" spans="1:51" ht="22.5" customHeight="1">
      <c r="A280" s="102"/>
      <c r="B280" s="102"/>
      <c r="C280" s="102"/>
      <c r="D280" s="102"/>
      <c r="E280" s="102"/>
      <c r="F280" s="102"/>
      <c r="G280" s="102"/>
      <c r="H280" s="102"/>
      <c r="I280" s="102"/>
      <c r="J280" s="102"/>
      <c r="K280" s="104"/>
      <c r="L280" s="63" t="str">
        <f t="shared" ca="1" si="9"/>
        <v/>
      </c>
      <c r="M280" s="104"/>
      <c r="N280" s="105"/>
      <c r="O280" s="104"/>
      <c r="P280" s="102"/>
      <c r="Q280" s="111"/>
      <c r="R280" s="118"/>
      <c r="S280" s="107"/>
      <c r="T280" s="102"/>
      <c r="U280" s="102"/>
      <c r="V280" s="102"/>
      <c r="W280" s="105"/>
      <c r="X280" s="105"/>
      <c r="Y280" s="105"/>
      <c r="Z280" s="105"/>
      <c r="AA280" s="105"/>
      <c r="AB280" s="105"/>
      <c r="AC280" s="109"/>
      <c r="AD280" s="107"/>
      <c r="AE280" s="102"/>
      <c r="AF280" s="109"/>
      <c r="AG280" s="107"/>
      <c r="AH280" s="111"/>
      <c r="AI280" s="111"/>
      <c r="AJ280" s="131" t="str">
        <f t="shared" ca="1" si="10"/>
        <v/>
      </c>
      <c r="AK280" s="102"/>
      <c r="AL280" s="102"/>
      <c r="AM280" s="105"/>
      <c r="AN280" s="105"/>
      <c r="AO280" s="105"/>
      <c r="AP280" s="109"/>
      <c r="AQ280" s="112"/>
      <c r="AR280" s="102"/>
      <c r="AS280" s="102"/>
      <c r="AT280" s="113"/>
      <c r="AU280" s="108"/>
      <c r="AV280" s="107"/>
      <c r="AW280" s="109"/>
      <c r="AX280" s="115">
        <f t="shared" si="11"/>
        <v>1900</v>
      </c>
      <c r="AY280" s="115">
        <f t="shared" si="12"/>
        <v>1900</v>
      </c>
    </row>
    <row r="281" spans="1:51" ht="22.5" customHeight="1">
      <c r="A281" s="102"/>
      <c r="B281" s="102"/>
      <c r="C281" s="102"/>
      <c r="D281" s="102"/>
      <c r="E281" s="102"/>
      <c r="F281" s="102"/>
      <c r="G281" s="102"/>
      <c r="H281" s="102"/>
      <c r="I281" s="102"/>
      <c r="J281" s="102"/>
      <c r="K281" s="104"/>
      <c r="L281" s="63" t="str">
        <f t="shared" ca="1" si="9"/>
        <v/>
      </c>
      <c r="M281" s="104"/>
      <c r="N281" s="105"/>
      <c r="O281" s="104"/>
      <c r="P281" s="102"/>
      <c r="Q281" s="111"/>
      <c r="R281" s="118"/>
      <c r="S281" s="107"/>
      <c r="T281" s="102"/>
      <c r="U281" s="102"/>
      <c r="V281" s="102"/>
      <c r="W281" s="105"/>
      <c r="X281" s="105"/>
      <c r="Y281" s="105"/>
      <c r="Z281" s="105"/>
      <c r="AA281" s="105"/>
      <c r="AB281" s="105"/>
      <c r="AC281" s="109"/>
      <c r="AD281" s="107"/>
      <c r="AE281" s="102"/>
      <c r="AF281" s="109"/>
      <c r="AG281" s="107"/>
      <c r="AH281" s="111"/>
      <c r="AI281" s="111"/>
      <c r="AJ281" s="131" t="str">
        <f t="shared" ca="1" si="10"/>
        <v/>
      </c>
      <c r="AK281" s="102"/>
      <c r="AL281" s="102"/>
      <c r="AM281" s="105"/>
      <c r="AN281" s="105"/>
      <c r="AO281" s="105"/>
      <c r="AP281" s="109"/>
      <c r="AQ281" s="112"/>
      <c r="AR281" s="102"/>
      <c r="AS281" s="102"/>
      <c r="AT281" s="113"/>
      <c r="AU281" s="108"/>
      <c r="AV281" s="107"/>
      <c r="AW281" s="109"/>
      <c r="AX281" s="115">
        <f t="shared" si="11"/>
        <v>1900</v>
      </c>
      <c r="AY281" s="115">
        <f t="shared" si="12"/>
        <v>1900</v>
      </c>
    </row>
    <row r="282" spans="1:51" ht="22.5" customHeight="1">
      <c r="A282" s="102"/>
      <c r="B282" s="102"/>
      <c r="C282" s="102"/>
      <c r="D282" s="102"/>
      <c r="E282" s="102"/>
      <c r="F282" s="102"/>
      <c r="G282" s="102"/>
      <c r="H282" s="102"/>
      <c r="I282" s="102"/>
      <c r="J282" s="102"/>
      <c r="K282" s="104"/>
      <c r="L282" s="63" t="str">
        <f t="shared" ca="1" si="9"/>
        <v/>
      </c>
      <c r="M282" s="104"/>
      <c r="N282" s="105"/>
      <c r="O282" s="104"/>
      <c r="P282" s="102"/>
      <c r="Q282" s="111"/>
      <c r="R282" s="118"/>
      <c r="S282" s="107"/>
      <c r="T282" s="102"/>
      <c r="U282" s="102"/>
      <c r="V282" s="102"/>
      <c r="W282" s="105"/>
      <c r="X282" s="105"/>
      <c r="Y282" s="105"/>
      <c r="Z282" s="105"/>
      <c r="AA282" s="105"/>
      <c r="AB282" s="105"/>
      <c r="AC282" s="109"/>
      <c r="AD282" s="107"/>
      <c r="AE282" s="102"/>
      <c r="AF282" s="109"/>
      <c r="AG282" s="107"/>
      <c r="AH282" s="111"/>
      <c r="AI282" s="111"/>
      <c r="AJ282" s="131" t="str">
        <f t="shared" ca="1" si="10"/>
        <v/>
      </c>
      <c r="AK282" s="102"/>
      <c r="AL282" s="102"/>
      <c r="AM282" s="105"/>
      <c r="AN282" s="105"/>
      <c r="AO282" s="105"/>
      <c r="AP282" s="109"/>
      <c r="AQ282" s="112"/>
      <c r="AR282" s="102"/>
      <c r="AS282" s="102"/>
      <c r="AT282" s="113"/>
      <c r="AU282" s="108"/>
      <c r="AV282" s="107"/>
      <c r="AW282" s="109"/>
      <c r="AX282" s="115">
        <f t="shared" si="11"/>
        <v>1900</v>
      </c>
      <c r="AY282" s="115">
        <f t="shared" si="12"/>
        <v>1900</v>
      </c>
    </row>
    <row r="283" spans="1:51" ht="22.5" customHeight="1">
      <c r="A283" s="102"/>
      <c r="B283" s="102"/>
      <c r="C283" s="102"/>
      <c r="D283" s="102"/>
      <c r="E283" s="102"/>
      <c r="F283" s="102"/>
      <c r="G283" s="102"/>
      <c r="H283" s="102"/>
      <c r="I283" s="102"/>
      <c r="J283" s="102"/>
      <c r="K283" s="104"/>
      <c r="L283" s="63" t="str">
        <f t="shared" ca="1" si="9"/>
        <v/>
      </c>
      <c r="M283" s="104"/>
      <c r="N283" s="105"/>
      <c r="O283" s="104"/>
      <c r="P283" s="102"/>
      <c r="Q283" s="111"/>
      <c r="R283" s="118"/>
      <c r="S283" s="107"/>
      <c r="T283" s="102"/>
      <c r="U283" s="102"/>
      <c r="V283" s="102"/>
      <c r="W283" s="105"/>
      <c r="X283" s="105"/>
      <c r="Y283" s="105"/>
      <c r="Z283" s="105"/>
      <c r="AA283" s="105"/>
      <c r="AB283" s="105"/>
      <c r="AC283" s="109"/>
      <c r="AD283" s="107"/>
      <c r="AE283" s="102"/>
      <c r="AF283" s="109"/>
      <c r="AG283" s="107"/>
      <c r="AH283" s="111"/>
      <c r="AI283" s="111"/>
      <c r="AJ283" s="131" t="str">
        <f t="shared" ca="1" si="10"/>
        <v/>
      </c>
      <c r="AK283" s="102"/>
      <c r="AL283" s="102"/>
      <c r="AM283" s="105"/>
      <c r="AN283" s="105"/>
      <c r="AO283" s="105"/>
      <c r="AP283" s="109"/>
      <c r="AQ283" s="112"/>
      <c r="AR283" s="102"/>
      <c r="AS283" s="102"/>
      <c r="AT283" s="113"/>
      <c r="AU283" s="108"/>
      <c r="AV283" s="107"/>
      <c r="AW283" s="109"/>
      <c r="AX283" s="115">
        <f t="shared" si="11"/>
        <v>1900</v>
      </c>
      <c r="AY283" s="115">
        <f t="shared" si="12"/>
        <v>1900</v>
      </c>
    </row>
    <row r="284" spans="1:51" ht="22.5" customHeight="1">
      <c r="A284" s="102"/>
      <c r="B284" s="102"/>
      <c r="C284" s="102"/>
      <c r="D284" s="102"/>
      <c r="E284" s="102"/>
      <c r="F284" s="102"/>
      <c r="G284" s="102"/>
      <c r="H284" s="102"/>
      <c r="I284" s="102"/>
      <c r="J284" s="102"/>
      <c r="K284" s="104"/>
      <c r="L284" s="63" t="str">
        <f t="shared" ca="1" si="9"/>
        <v/>
      </c>
      <c r="M284" s="104"/>
      <c r="N284" s="105"/>
      <c r="O284" s="104"/>
      <c r="P284" s="102"/>
      <c r="Q284" s="111"/>
      <c r="R284" s="118"/>
      <c r="S284" s="107"/>
      <c r="T284" s="102"/>
      <c r="U284" s="102"/>
      <c r="V284" s="102"/>
      <c r="W284" s="105"/>
      <c r="X284" s="105"/>
      <c r="Y284" s="105"/>
      <c r="Z284" s="105"/>
      <c r="AA284" s="105"/>
      <c r="AB284" s="105"/>
      <c r="AC284" s="109"/>
      <c r="AD284" s="107"/>
      <c r="AE284" s="102"/>
      <c r="AF284" s="109"/>
      <c r="AG284" s="107"/>
      <c r="AH284" s="111"/>
      <c r="AI284" s="111"/>
      <c r="AJ284" s="131" t="str">
        <f t="shared" ca="1" si="10"/>
        <v/>
      </c>
      <c r="AK284" s="102"/>
      <c r="AL284" s="102"/>
      <c r="AM284" s="105"/>
      <c r="AN284" s="105"/>
      <c r="AO284" s="105"/>
      <c r="AP284" s="109"/>
      <c r="AQ284" s="112"/>
      <c r="AR284" s="102"/>
      <c r="AS284" s="102"/>
      <c r="AT284" s="113"/>
      <c r="AU284" s="108"/>
      <c r="AV284" s="107"/>
      <c r="AW284" s="109"/>
      <c r="AX284" s="115">
        <f t="shared" si="11"/>
        <v>1900</v>
      </c>
      <c r="AY284" s="115">
        <f t="shared" si="12"/>
        <v>1900</v>
      </c>
    </row>
    <row r="285" spans="1:51" ht="22.5" customHeight="1">
      <c r="A285" s="102"/>
      <c r="B285" s="102"/>
      <c r="C285" s="102"/>
      <c r="D285" s="102"/>
      <c r="E285" s="102"/>
      <c r="F285" s="102"/>
      <c r="G285" s="102"/>
      <c r="H285" s="102"/>
      <c r="I285" s="102"/>
      <c r="J285" s="102"/>
      <c r="K285" s="104"/>
      <c r="L285" s="63" t="str">
        <f t="shared" ca="1" si="9"/>
        <v/>
      </c>
      <c r="M285" s="104"/>
      <c r="N285" s="105"/>
      <c r="O285" s="104"/>
      <c r="P285" s="102"/>
      <c r="Q285" s="111"/>
      <c r="R285" s="118"/>
      <c r="S285" s="107"/>
      <c r="T285" s="102"/>
      <c r="U285" s="102"/>
      <c r="V285" s="102"/>
      <c r="W285" s="105"/>
      <c r="X285" s="105"/>
      <c r="Y285" s="105"/>
      <c r="Z285" s="105"/>
      <c r="AA285" s="105"/>
      <c r="AB285" s="105"/>
      <c r="AC285" s="109"/>
      <c r="AD285" s="107"/>
      <c r="AE285" s="102"/>
      <c r="AF285" s="109"/>
      <c r="AG285" s="107"/>
      <c r="AH285" s="111"/>
      <c r="AI285" s="111"/>
      <c r="AJ285" s="131" t="str">
        <f t="shared" ca="1" si="10"/>
        <v/>
      </c>
      <c r="AK285" s="102"/>
      <c r="AL285" s="102"/>
      <c r="AM285" s="105"/>
      <c r="AN285" s="105"/>
      <c r="AO285" s="105"/>
      <c r="AP285" s="109"/>
      <c r="AQ285" s="112"/>
      <c r="AR285" s="102"/>
      <c r="AS285" s="102"/>
      <c r="AT285" s="113"/>
      <c r="AU285" s="108"/>
      <c r="AV285" s="107"/>
      <c r="AW285" s="109"/>
      <c r="AX285" s="115">
        <f t="shared" si="11"/>
        <v>1900</v>
      </c>
      <c r="AY285" s="115">
        <f t="shared" si="12"/>
        <v>1900</v>
      </c>
    </row>
    <row r="286" spans="1:51" ht="22.5" customHeight="1">
      <c r="A286" s="102"/>
      <c r="B286" s="102"/>
      <c r="C286" s="102"/>
      <c r="D286" s="102"/>
      <c r="E286" s="102"/>
      <c r="F286" s="102"/>
      <c r="G286" s="102"/>
      <c r="H286" s="102"/>
      <c r="I286" s="102"/>
      <c r="J286" s="102"/>
      <c r="K286" s="104"/>
      <c r="L286" s="63" t="str">
        <f t="shared" ca="1" si="9"/>
        <v/>
      </c>
      <c r="M286" s="104"/>
      <c r="N286" s="105"/>
      <c r="O286" s="104"/>
      <c r="P286" s="102"/>
      <c r="Q286" s="111"/>
      <c r="R286" s="118"/>
      <c r="S286" s="107"/>
      <c r="T286" s="102"/>
      <c r="U286" s="102"/>
      <c r="V286" s="102"/>
      <c r="W286" s="105"/>
      <c r="X286" s="105"/>
      <c r="Y286" s="105"/>
      <c r="Z286" s="105"/>
      <c r="AA286" s="105"/>
      <c r="AB286" s="105"/>
      <c r="AC286" s="109"/>
      <c r="AD286" s="107"/>
      <c r="AE286" s="102"/>
      <c r="AF286" s="109"/>
      <c r="AG286" s="107"/>
      <c r="AH286" s="111"/>
      <c r="AI286" s="111"/>
      <c r="AJ286" s="131" t="str">
        <f t="shared" ca="1" si="10"/>
        <v/>
      </c>
      <c r="AK286" s="102"/>
      <c r="AL286" s="102"/>
      <c r="AM286" s="105"/>
      <c r="AN286" s="105"/>
      <c r="AO286" s="105"/>
      <c r="AP286" s="109"/>
      <c r="AQ286" s="112"/>
      <c r="AR286" s="102"/>
      <c r="AS286" s="102"/>
      <c r="AT286" s="113"/>
      <c r="AU286" s="108"/>
      <c r="AV286" s="107"/>
      <c r="AW286" s="109"/>
      <c r="AX286" s="115">
        <f t="shared" si="11"/>
        <v>1900</v>
      </c>
      <c r="AY286" s="115">
        <f t="shared" si="12"/>
        <v>1900</v>
      </c>
    </row>
    <row r="287" spans="1:51" ht="22.5" customHeight="1">
      <c r="A287" s="102"/>
      <c r="B287" s="102"/>
      <c r="C287" s="102"/>
      <c r="D287" s="102"/>
      <c r="E287" s="102"/>
      <c r="F287" s="102"/>
      <c r="G287" s="102"/>
      <c r="H287" s="102"/>
      <c r="I287" s="102"/>
      <c r="J287" s="102"/>
      <c r="K287" s="104"/>
      <c r="L287" s="63" t="str">
        <f t="shared" ca="1" si="9"/>
        <v/>
      </c>
      <c r="M287" s="104"/>
      <c r="N287" s="105"/>
      <c r="O287" s="104"/>
      <c r="P287" s="102"/>
      <c r="Q287" s="111"/>
      <c r="R287" s="118"/>
      <c r="S287" s="107"/>
      <c r="T287" s="102"/>
      <c r="U287" s="102"/>
      <c r="V287" s="102"/>
      <c r="W287" s="105"/>
      <c r="X287" s="105"/>
      <c r="Y287" s="105"/>
      <c r="Z287" s="105"/>
      <c r="AA287" s="105"/>
      <c r="AB287" s="105"/>
      <c r="AC287" s="109"/>
      <c r="AD287" s="107"/>
      <c r="AE287" s="102"/>
      <c r="AF287" s="109"/>
      <c r="AG287" s="107"/>
      <c r="AH287" s="111"/>
      <c r="AI287" s="111"/>
      <c r="AJ287" s="131" t="str">
        <f t="shared" ca="1" si="10"/>
        <v/>
      </c>
      <c r="AK287" s="102"/>
      <c r="AL287" s="102"/>
      <c r="AM287" s="105"/>
      <c r="AN287" s="105"/>
      <c r="AO287" s="105"/>
      <c r="AP287" s="109"/>
      <c r="AQ287" s="112"/>
      <c r="AR287" s="102"/>
      <c r="AS287" s="102"/>
      <c r="AT287" s="113"/>
      <c r="AU287" s="108"/>
      <c r="AV287" s="107"/>
      <c r="AW287" s="109"/>
      <c r="AX287" s="115">
        <f t="shared" si="11"/>
        <v>1900</v>
      </c>
      <c r="AY287" s="115">
        <f t="shared" si="12"/>
        <v>1900</v>
      </c>
    </row>
    <row r="288" spans="1:51" ht="22.5" customHeight="1">
      <c r="A288" s="102"/>
      <c r="B288" s="102"/>
      <c r="C288" s="102"/>
      <c r="D288" s="102"/>
      <c r="E288" s="102"/>
      <c r="F288" s="102"/>
      <c r="G288" s="102"/>
      <c r="H288" s="102"/>
      <c r="I288" s="102"/>
      <c r="J288" s="102"/>
      <c r="K288" s="104"/>
      <c r="L288" s="63" t="str">
        <f t="shared" ca="1" si="9"/>
        <v/>
      </c>
      <c r="M288" s="104"/>
      <c r="N288" s="105"/>
      <c r="O288" s="104"/>
      <c r="P288" s="102"/>
      <c r="Q288" s="111"/>
      <c r="R288" s="118"/>
      <c r="S288" s="107"/>
      <c r="T288" s="102"/>
      <c r="U288" s="102"/>
      <c r="V288" s="102"/>
      <c r="W288" s="105"/>
      <c r="X288" s="105"/>
      <c r="Y288" s="105"/>
      <c r="Z288" s="105"/>
      <c r="AA288" s="105"/>
      <c r="AB288" s="105"/>
      <c r="AC288" s="109"/>
      <c r="AD288" s="107"/>
      <c r="AE288" s="102"/>
      <c r="AF288" s="109"/>
      <c r="AG288" s="107"/>
      <c r="AH288" s="111"/>
      <c r="AI288" s="111"/>
      <c r="AJ288" s="131" t="str">
        <f t="shared" ca="1" si="10"/>
        <v/>
      </c>
      <c r="AK288" s="102"/>
      <c r="AL288" s="102"/>
      <c r="AM288" s="105"/>
      <c r="AN288" s="105"/>
      <c r="AO288" s="105"/>
      <c r="AP288" s="109"/>
      <c r="AQ288" s="112"/>
      <c r="AR288" s="102"/>
      <c r="AS288" s="102"/>
      <c r="AT288" s="113"/>
      <c r="AU288" s="108"/>
      <c r="AV288" s="107"/>
      <c r="AW288" s="109"/>
      <c r="AX288" s="115">
        <f t="shared" si="11"/>
        <v>1900</v>
      </c>
      <c r="AY288" s="115">
        <f t="shared" si="12"/>
        <v>1900</v>
      </c>
    </row>
    <row r="289" spans="1:51" ht="22.5" customHeight="1">
      <c r="A289" s="102"/>
      <c r="B289" s="102"/>
      <c r="C289" s="102"/>
      <c r="D289" s="102"/>
      <c r="E289" s="102"/>
      <c r="F289" s="102"/>
      <c r="G289" s="102"/>
      <c r="H289" s="102"/>
      <c r="I289" s="102"/>
      <c r="J289" s="102"/>
      <c r="K289" s="104"/>
      <c r="L289" s="63" t="str">
        <f t="shared" ca="1" si="9"/>
        <v/>
      </c>
      <c r="M289" s="104"/>
      <c r="N289" s="105"/>
      <c r="O289" s="104"/>
      <c r="P289" s="102"/>
      <c r="Q289" s="111"/>
      <c r="R289" s="118"/>
      <c r="S289" s="107"/>
      <c r="T289" s="102"/>
      <c r="U289" s="102"/>
      <c r="V289" s="102"/>
      <c r="W289" s="105"/>
      <c r="X289" s="105"/>
      <c r="Y289" s="105"/>
      <c r="Z289" s="105"/>
      <c r="AA289" s="105"/>
      <c r="AB289" s="105"/>
      <c r="AC289" s="109"/>
      <c r="AD289" s="107"/>
      <c r="AE289" s="102"/>
      <c r="AF289" s="109"/>
      <c r="AG289" s="107"/>
      <c r="AH289" s="111"/>
      <c r="AI289" s="111"/>
      <c r="AJ289" s="131" t="str">
        <f t="shared" ca="1" si="10"/>
        <v/>
      </c>
      <c r="AK289" s="102"/>
      <c r="AL289" s="102"/>
      <c r="AM289" s="105"/>
      <c r="AN289" s="105"/>
      <c r="AO289" s="105"/>
      <c r="AP289" s="109"/>
      <c r="AQ289" s="112"/>
      <c r="AR289" s="102"/>
      <c r="AS289" s="102"/>
      <c r="AT289" s="113"/>
      <c r="AU289" s="108"/>
      <c r="AV289" s="107"/>
      <c r="AW289" s="109"/>
      <c r="AX289" s="115">
        <f t="shared" si="11"/>
        <v>1900</v>
      </c>
      <c r="AY289" s="115">
        <f t="shared" si="12"/>
        <v>1900</v>
      </c>
    </row>
    <row r="290" spans="1:51" ht="22.5" customHeight="1">
      <c r="A290" s="102"/>
      <c r="B290" s="102"/>
      <c r="C290" s="102"/>
      <c r="D290" s="102"/>
      <c r="E290" s="102"/>
      <c r="F290" s="102"/>
      <c r="G290" s="102"/>
      <c r="H290" s="102"/>
      <c r="I290" s="102"/>
      <c r="J290" s="102"/>
      <c r="K290" s="104"/>
      <c r="L290" s="63" t="str">
        <f t="shared" ca="1" si="9"/>
        <v/>
      </c>
      <c r="M290" s="104"/>
      <c r="N290" s="105"/>
      <c r="O290" s="104"/>
      <c r="P290" s="102"/>
      <c r="Q290" s="111"/>
      <c r="R290" s="118"/>
      <c r="S290" s="107"/>
      <c r="T290" s="102"/>
      <c r="U290" s="102"/>
      <c r="V290" s="102"/>
      <c r="W290" s="105"/>
      <c r="X290" s="105"/>
      <c r="Y290" s="105"/>
      <c r="Z290" s="105"/>
      <c r="AA290" s="105"/>
      <c r="AB290" s="105"/>
      <c r="AC290" s="109"/>
      <c r="AD290" s="107"/>
      <c r="AE290" s="102"/>
      <c r="AF290" s="109"/>
      <c r="AG290" s="107"/>
      <c r="AH290" s="111"/>
      <c r="AI290" s="111"/>
      <c r="AJ290" s="131" t="str">
        <f t="shared" ca="1" si="10"/>
        <v/>
      </c>
      <c r="AK290" s="102"/>
      <c r="AL290" s="102"/>
      <c r="AM290" s="105"/>
      <c r="AN290" s="105"/>
      <c r="AO290" s="105"/>
      <c r="AP290" s="109"/>
      <c r="AQ290" s="112"/>
      <c r="AR290" s="102"/>
      <c r="AS290" s="102"/>
      <c r="AT290" s="113"/>
      <c r="AU290" s="108"/>
      <c r="AV290" s="107"/>
      <c r="AW290" s="109"/>
      <c r="AX290" s="115">
        <f t="shared" si="11"/>
        <v>1900</v>
      </c>
      <c r="AY290" s="115">
        <f t="shared" si="12"/>
        <v>1900</v>
      </c>
    </row>
    <row r="291" spans="1:51" ht="22.5" customHeight="1">
      <c r="A291" s="102"/>
      <c r="B291" s="102"/>
      <c r="C291" s="102"/>
      <c r="D291" s="102"/>
      <c r="E291" s="102"/>
      <c r="F291" s="102"/>
      <c r="G291" s="102"/>
      <c r="H291" s="102"/>
      <c r="I291" s="102"/>
      <c r="J291" s="102"/>
      <c r="K291" s="104"/>
      <c r="L291" s="63" t="str">
        <f t="shared" ca="1" si="9"/>
        <v/>
      </c>
      <c r="M291" s="104"/>
      <c r="N291" s="105"/>
      <c r="O291" s="104"/>
      <c r="P291" s="102"/>
      <c r="Q291" s="111"/>
      <c r="R291" s="118"/>
      <c r="S291" s="107"/>
      <c r="T291" s="102"/>
      <c r="U291" s="102"/>
      <c r="V291" s="102"/>
      <c r="W291" s="105"/>
      <c r="X291" s="105"/>
      <c r="Y291" s="105"/>
      <c r="Z291" s="105"/>
      <c r="AA291" s="105"/>
      <c r="AB291" s="105"/>
      <c r="AC291" s="109"/>
      <c r="AD291" s="107"/>
      <c r="AE291" s="102"/>
      <c r="AF291" s="109"/>
      <c r="AG291" s="107"/>
      <c r="AH291" s="111"/>
      <c r="AI291" s="111"/>
      <c r="AJ291" s="131" t="str">
        <f t="shared" ca="1" si="10"/>
        <v/>
      </c>
      <c r="AK291" s="102"/>
      <c r="AL291" s="102"/>
      <c r="AM291" s="105"/>
      <c r="AN291" s="105"/>
      <c r="AO291" s="105"/>
      <c r="AP291" s="109"/>
      <c r="AQ291" s="112"/>
      <c r="AR291" s="102"/>
      <c r="AS291" s="102"/>
      <c r="AT291" s="113"/>
      <c r="AU291" s="108"/>
      <c r="AV291" s="107"/>
      <c r="AW291" s="109"/>
      <c r="AX291" s="115">
        <f t="shared" si="11"/>
        <v>1900</v>
      </c>
      <c r="AY291" s="115">
        <f t="shared" si="12"/>
        <v>1900</v>
      </c>
    </row>
    <row r="292" spans="1:51" ht="22.5" customHeight="1">
      <c r="A292" s="102"/>
      <c r="B292" s="102"/>
      <c r="C292" s="102"/>
      <c r="D292" s="102"/>
      <c r="E292" s="102"/>
      <c r="F292" s="102"/>
      <c r="G292" s="102"/>
      <c r="H292" s="102"/>
      <c r="I292" s="102"/>
      <c r="J292" s="102"/>
      <c r="K292" s="104"/>
      <c r="L292" s="63" t="str">
        <f t="shared" ca="1" si="9"/>
        <v/>
      </c>
      <c r="M292" s="104"/>
      <c r="N292" s="105"/>
      <c r="O292" s="104"/>
      <c r="P292" s="102"/>
      <c r="Q292" s="111"/>
      <c r="R292" s="118"/>
      <c r="S292" s="107"/>
      <c r="T292" s="102"/>
      <c r="U292" s="102"/>
      <c r="V292" s="102"/>
      <c r="W292" s="105"/>
      <c r="X292" s="105"/>
      <c r="Y292" s="105"/>
      <c r="Z292" s="105"/>
      <c r="AA292" s="105"/>
      <c r="AB292" s="105"/>
      <c r="AC292" s="109"/>
      <c r="AD292" s="107"/>
      <c r="AE292" s="102"/>
      <c r="AF292" s="109"/>
      <c r="AG292" s="107"/>
      <c r="AH292" s="111"/>
      <c r="AI292" s="111"/>
      <c r="AJ292" s="131" t="str">
        <f t="shared" ca="1" si="10"/>
        <v/>
      </c>
      <c r="AK292" s="102"/>
      <c r="AL292" s="102"/>
      <c r="AM292" s="105"/>
      <c r="AN292" s="105"/>
      <c r="AO292" s="105"/>
      <c r="AP292" s="109"/>
      <c r="AQ292" s="112"/>
      <c r="AR292" s="102"/>
      <c r="AS292" s="102"/>
      <c r="AT292" s="113"/>
      <c r="AU292" s="108"/>
      <c r="AV292" s="107"/>
      <c r="AW292" s="109"/>
      <c r="AX292" s="115">
        <f t="shared" si="11"/>
        <v>1900</v>
      </c>
      <c r="AY292" s="115">
        <f t="shared" si="12"/>
        <v>1900</v>
      </c>
    </row>
    <row r="293" spans="1:51" ht="22.5" customHeight="1">
      <c r="A293" s="102"/>
      <c r="B293" s="102"/>
      <c r="C293" s="102"/>
      <c r="D293" s="102"/>
      <c r="E293" s="102"/>
      <c r="F293" s="102"/>
      <c r="G293" s="102"/>
      <c r="H293" s="102"/>
      <c r="I293" s="102"/>
      <c r="J293" s="102"/>
      <c r="K293" s="104"/>
      <c r="L293" s="63" t="str">
        <f t="shared" ca="1" si="9"/>
        <v/>
      </c>
      <c r="M293" s="104"/>
      <c r="N293" s="105"/>
      <c r="O293" s="104"/>
      <c r="P293" s="102"/>
      <c r="Q293" s="111"/>
      <c r="R293" s="118"/>
      <c r="S293" s="107"/>
      <c r="T293" s="102"/>
      <c r="U293" s="102"/>
      <c r="V293" s="102"/>
      <c r="W293" s="105"/>
      <c r="X293" s="105"/>
      <c r="Y293" s="105"/>
      <c r="Z293" s="105"/>
      <c r="AA293" s="105"/>
      <c r="AB293" s="105"/>
      <c r="AC293" s="109"/>
      <c r="AD293" s="107"/>
      <c r="AE293" s="102"/>
      <c r="AF293" s="109"/>
      <c r="AG293" s="107"/>
      <c r="AH293" s="111"/>
      <c r="AI293" s="111"/>
      <c r="AJ293" s="131" t="str">
        <f t="shared" ca="1" si="10"/>
        <v/>
      </c>
      <c r="AK293" s="102"/>
      <c r="AL293" s="102"/>
      <c r="AM293" s="105"/>
      <c r="AN293" s="105"/>
      <c r="AO293" s="105"/>
      <c r="AP293" s="109"/>
      <c r="AQ293" s="112"/>
      <c r="AR293" s="102"/>
      <c r="AS293" s="102"/>
      <c r="AT293" s="113"/>
      <c r="AU293" s="108"/>
      <c r="AV293" s="107"/>
      <c r="AW293" s="109"/>
      <c r="AX293" s="115">
        <f t="shared" si="11"/>
        <v>1900</v>
      </c>
      <c r="AY293" s="115">
        <f t="shared" si="12"/>
        <v>1900</v>
      </c>
    </row>
    <row r="294" spans="1:51" ht="22.5" customHeight="1">
      <c r="A294" s="102"/>
      <c r="B294" s="102"/>
      <c r="C294" s="102"/>
      <c r="D294" s="102"/>
      <c r="E294" s="102"/>
      <c r="F294" s="102"/>
      <c r="G294" s="102"/>
      <c r="H294" s="102"/>
      <c r="I294" s="102"/>
      <c r="J294" s="102"/>
      <c r="K294" s="104"/>
      <c r="L294" s="63" t="str">
        <f t="shared" ca="1" si="9"/>
        <v/>
      </c>
      <c r="M294" s="104"/>
      <c r="N294" s="105"/>
      <c r="O294" s="104"/>
      <c r="P294" s="102"/>
      <c r="Q294" s="111"/>
      <c r="R294" s="118"/>
      <c r="S294" s="107"/>
      <c r="T294" s="102"/>
      <c r="U294" s="102"/>
      <c r="V294" s="102"/>
      <c r="W294" s="105"/>
      <c r="X294" s="105"/>
      <c r="Y294" s="105"/>
      <c r="Z294" s="105"/>
      <c r="AA294" s="105"/>
      <c r="AB294" s="105"/>
      <c r="AC294" s="109"/>
      <c r="AD294" s="107"/>
      <c r="AE294" s="102"/>
      <c r="AF294" s="109"/>
      <c r="AG294" s="107"/>
      <c r="AH294" s="111"/>
      <c r="AI294" s="111"/>
      <c r="AJ294" s="131" t="str">
        <f t="shared" ca="1" si="10"/>
        <v/>
      </c>
      <c r="AK294" s="102"/>
      <c r="AL294" s="102"/>
      <c r="AM294" s="105"/>
      <c r="AN294" s="105"/>
      <c r="AO294" s="105"/>
      <c r="AP294" s="109"/>
      <c r="AQ294" s="112"/>
      <c r="AR294" s="102"/>
      <c r="AS294" s="102"/>
      <c r="AT294" s="113"/>
      <c r="AU294" s="108"/>
      <c r="AV294" s="107"/>
      <c r="AW294" s="109"/>
      <c r="AX294" s="115">
        <f t="shared" si="11"/>
        <v>1900</v>
      </c>
      <c r="AY294" s="115">
        <f t="shared" si="12"/>
        <v>1900</v>
      </c>
    </row>
    <row r="295" spans="1:51" ht="22.5" customHeight="1">
      <c r="A295" s="102"/>
      <c r="B295" s="102"/>
      <c r="C295" s="102"/>
      <c r="D295" s="102"/>
      <c r="E295" s="102"/>
      <c r="F295" s="102"/>
      <c r="G295" s="102"/>
      <c r="H295" s="102"/>
      <c r="I295" s="102"/>
      <c r="J295" s="102"/>
      <c r="K295" s="104"/>
      <c r="L295" s="63" t="str">
        <f t="shared" ca="1" si="9"/>
        <v/>
      </c>
      <c r="M295" s="104"/>
      <c r="N295" s="105"/>
      <c r="O295" s="104"/>
      <c r="P295" s="102"/>
      <c r="Q295" s="111"/>
      <c r="R295" s="118"/>
      <c r="S295" s="107"/>
      <c r="T295" s="102"/>
      <c r="U295" s="102"/>
      <c r="V295" s="102"/>
      <c r="W295" s="105"/>
      <c r="X295" s="105"/>
      <c r="Y295" s="105"/>
      <c r="Z295" s="105"/>
      <c r="AA295" s="105"/>
      <c r="AB295" s="105"/>
      <c r="AC295" s="109"/>
      <c r="AD295" s="107"/>
      <c r="AE295" s="102"/>
      <c r="AF295" s="109"/>
      <c r="AG295" s="107"/>
      <c r="AH295" s="111"/>
      <c r="AI295" s="111"/>
      <c r="AJ295" s="131" t="str">
        <f t="shared" ca="1" si="10"/>
        <v/>
      </c>
      <c r="AK295" s="102"/>
      <c r="AL295" s="102"/>
      <c r="AM295" s="105"/>
      <c r="AN295" s="105"/>
      <c r="AO295" s="105"/>
      <c r="AP295" s="109"/>
      <c r="AQ295" s="112"/>
      <c r="AR295" s="102"/>
      <c r="AS295" s="102"/>
      <c r="AT295" s="113"/>
      <c r="AU295" s="108"/>
      <c r="AV295" s="107"/>
      <c r="AW295" s="109"/>
      <c r="AX295" s="115">
        <f t="shared" si="11"/>
        <v>1900</v>
      </c>
      <c r="AY295" s="115">
        <f t="shared" si="12"/>
        <v>1900</v>
      </c>
    </row>
    <row r="296" spans="1:51" ht="22.5" customHeight="1">
      <c r="A296" s="102"/>
      <c r="B296" s="102"/>
      <c r="C296" s="102"/>
      <c r="D296" s="102"/>
      <c r="E296" s="102"/>
      <c r="F296" s="102"/>
      <c r="G296" s="102"/>
      <c r="H296" s="102"/>
      <c r="I296" s="102"/>
      <c r="J296" s="102"/>
      <c r="K296" s="104"/>
      <c r="L296" s="63" t="str">
        <f t="shared" ca="1" si="9"/>
        <v/>
      </c>
      <c r="M296" s="104"/>
      <c r="N296" s="105"/>
      <c r="O296" s="104"/>
      <c r="P296" s="102"/>
      <c r="Q296" s="111"/>
      <c r="R296" s="118"/>
      <c r="S296" s="107"/>
      <c r="T296" s="102"/>
      <c r="U296" s="102"/>
      <c r="V296" s="102"/>
      <c r="W296" s="105"/>
      <c r="X296" s="105"/>
      <c r="Y296" s="105"/>
      <c r="Z296" s="105"/>
      <c r="AA296" s="105"/>
      <c r="AB296" s="105"/>
      <c r="AC296" s="109"/>
      <c r="AD296" s="107"/>
      <c r="AE296" s="102"/>
      <c r="AF296" s="109"/>
      <c r="AG296" s="107"/>
      <c r="AH296" s="111"/>
      <c r="AI296" s="111"/>
      <c r="AJ296" s="131" t="str">
        <f t="shared" ca="1" si="10"/>
        <v/>
      </c>
      <c r="AK296" s="102"/>
      <c r="AL296" s="102"/>
      <c r="AM296" s="105"/>
      <c r="AN296" s="105"/>
      <c r="AO296" s="105"/>
      <c r="AP296" s="109"/>
      <c r="AQ296" s="112"/>
      <c r="AR296" s="102"/>
      <c r="AS296" s="102"/>
      <c r="AT296" s="113"/>
      <c r="AU296" s="108"/>
      <c r="AV296" s="107"/>
      <c r="AW296" s="109"/>
      <c r="AX296" s="115">
        <f t="shared" si="11"/>
        <v>1900</v>
      </c>
      <c r="AY296" s="115">
        <f t="shared" si="12"/>
        <v>1900</v>
      </c>
    </row>
    <row r="297" spans="1:51" ht="22.5" customHeight="1">
      <c r="A297" s="102"/>
      <c r="B297" s="102"/>
      <c r="C297" s="102"/>
      <c r="D297" s="102"/>
      <c r="E297" s="102"/>
      <c r="F297" s="102"/>
      <c r="G297" s="102"/>
      <c r="H297" s="102"/>
      <c r="I297" s="102"/>
      <c r="J297" s="102"/>
      <c r="K297" s="104"/>
      <c r="L297" s="63" t="str">
        <f t="shared" ca="1" si="9"/>
        <v/>
      </c>
      <c r="M297" s="104"/>
      <c r="N297" s="105"/>
      <c r="O297" s="104"/>
      <c r="P297" s="102"/>
      <c r="Q297" s="111"/>
      <c r="R297" s="118"/>
      <c r="S297" s="107"/>
      <c r="T297" s="102"/>
      <c r="U297" s="102"/>
      <c r="V297" s="102"/>
      <c r="W297" s="105"/>
      <c r="X297" s="105"/>
      <c r="Y297" s="105"/>
      <c r="Z297" s="105"/>
      <c r="AA297" s="105"/>
      <c r="AB297" s="105"/>
      <c r="AC297" s="109"/>
      <c r="AD297" s="107"/>
      <c r="AE297" s="102"/>
      <c r="AF297" s="109"/>
      <c r="AG297" s="107"/>
      <c r="AH297" s="111"/>
      <c r="AI297" s="111"/>
      <c r="AJ297" s="131" t="str">
        <f t="shared" ca="1" si="10"/>
        <v/>
      </c>
      <c r="AK297" s="102"/>
      <c r="AL297" s="102"/>
      <c r="AM297" s="105"/>
      <c r="AN297" s="105"/>
      <c r="AO297" s="105"/>
      <c r="AP297" s="109"/>
      <c r="AQ297" s="112"/>
      <c r="AR297" s="102"/>
      <c r="AS297" s="102"/>
      <c r="AT297" s="113"/>
      <c r="AU297" s="108"/>
      <c r="AV297" s="107"/>
      <c r="AW297" s="109"/>
      <c r="AX297" s="115">
        <f t="shared" si="11"/>
        <v>1900</v>
      </c>
      <c r="AY297" s="115">
        <f t="shared" si="12"/>
        <v>1900</v>
      </c>
    </row>
    <row r="298" spans="1:51" ht="22.5" customHeight="1">
      <c r="A298" s="102"/>
      <c r="B298" s="102"/>
      <c r="C298" s="102"/>
      <c r="D298" s="102"/>
      <c r="E298" s="102"/>
      <c r="F298" s="102"/>
      <c r="G298" s="102"/>
      <c r="H298" s="102"/>
      <c r="I298" s="102"/>
      <c r="J298" s="102"/>
      <c r="K298" s="104"/>
      <c r="L298" s="63" t="str">
        <f t="shared" ca="1" si="9"/>
        <v/>
      </c>
      <c r="M298" s="104"/>
      <c r="N298" s="105"/>
      <c r="O298" s="104"/>
      <c r="P298" s="102"/>
      <c r="Q298" s="111"/>
      <c r="R298" s="118"/>
      <c r="S298" s="107"/>
      <c r="T298" s="102"/>
      <c r="U298" s="102"/>
      <c r="V298" s="102"/>
      <c r="W298" s="105"/>
      <c r="X298" s="105"/>
      <c r="Y298" s="105"/>
      <c r="Z298" s="105"/>
      <c r="AA298" s="105"/>
      <c r="AB298" s="105"/>
      <c r="AC298" s="109"/>
      <c r="AD298" s="107"/>
      <c r="AE298" s="102"/>
      <c r="AF298" s="109"/>
      <c r="AG298" s="107"/>
      <c r="AH298" s="111"/>
      <c r="AI298" s="111"/>
      <c r="AJ298" s="131" t="str">
        <f t="shared" ca="1" si="10"/>
        <v/>
      </c>
      <c r="AK298" s="102"/>
      <c r="AL298" s="102"/>
      <c r="AM298" s="105"/>
      <c r="AN298" s="105"/>
      <c r="AO298" s="105"/>
      <c r="AP298" s="109"/>
      <c r="AQ298" s="112"/>
      <c r="AR298" s="102"/>
      <c r="AS298" s="102"/>
      <c r="AT298" s="113"/>
      <c r="AU298" s="108"/>
      <c r="AV298" s="107"/>
      <c r="AW298" s="109"/>
      <c r="AX298" s="115">
        <f t="shared" si="11"/>
        <v>1900</v>
      </c>
      <c r="AY298" s="115">
        <f t="shared" si="12"/>
        <v>1900</v>
      </c>
    </row>
    <row r="299" spans="1:51" ht="22.5" customHeight="1">
      <c r="A299" s="102"/>
      <c r="B299" s="102"/>
      <c r="C299" s="102"/>
      <c r="D299" s="102"/>
      <c r="E299" s="102"/>
      <c r="F299" s="102"/>
      <c r="G299" s="102"/>
      <c r="H299" s="102"/>
      <c r="I299" s="102"/>
      <c r="J299" s="102"/>
      <c r="K299" s="104"/>
      <c r="L299" s="63" t="str">
        <f t="shared" ca="1" si="9"/>
        <v/>
      </c>
      <c r="M299" s="104"/>
      <c r="N299" s="105"/>
      <c r="O299" s="104"/>
      <c r="P299" s="102"/>
      <c r="Q299" s="111"/>
      <c r="R299" s="118"/>
      <c r="S299" s="107"/>
      <c r="T299" s="102"/>
      <c r="U299" s="102"/>
      <c r="V299" s="102"/>
      <c r="W299" s="105"/>
      <c r="X299" s="105"/>
      <c r="Y299" s="105"/>
      <c r="Z299" s="105"/>
      <c r="AA299" s="105"/>
      <c r="AB299" s="105"/>
      <c r="AC299" s="109"/>
      <c r="AD299" s="107"/>
      <c r="AE299" s="102"/>
      <c r="AF299" s="109"/>
      <c r="AG299" s="107"/>
      <c r="AH299" s="111"/>
      <c r="AI299" s="111"/>
      <c r="AJ299" s="131" t="str">
        <f t="shared" ca="1" si="10"/>
        <v/>
      </c>
      <c r="AK299" s="102"/>
      <c r="AL299" s="102"/>
      <c r="AM299" s="105"/>
      <c r="AN299" s="105"/>
      <c r="AO299" s="105"/>
      <c r="AP299" s="109"/>
      <c r="AQ299" s="112"/>
      <c r="AR299" s="102"/>
      <c r="AS299" s="102"/>
      <c r="AT299" s="113"/>
      <c r="AU299" s="108"/>
      <c r="AV299" s="107"/>
      <c r="AW299" s="109"/>
      <c r="AX299" s="115">
        <f t="shared" si="11"/>
        <v>1900</v>
      </c>
      <c r="AY299" s="115">
        <f t="shared" si="12"/>
        <v>1900</v>
      </c>
    </row>
    <row r="300" spans="1:51" ht="22.5" customHeight="1">
      <c r="A300" s="102"/>
      <c r="B300" s="102"/>
      <c r="C300" s="102"/>
      <c r="D300" s="102"/>
      <c r="E300" s="102"/>
      <c r="F300" s="102"/>
      <c r="G300" s="102"/>
      <c r="H300" s="102"/>
      <c r="I300" s="102"/>
      <c r="J300" s="102"/>
      <c r="K300" s="104"/>
      <c r="L300" s="63" t="str">
        <f t="shared" ca="1" si="9"/>
        <v/>
      </c>
      <c r="M300" s="104"/>
      <c r="N300" s="105"/>
      <c r="O300" s="104"/>
      <c r="P300" s="102"/>
      <c r="Q300" s="111"/>
      <c r="R300" s="118"/>
      <c r="S300" s="107"/>
      <c r="T300" s="102"/>
      <c r="U300" s="102"/>
      <c r="V300" s="102"/>
      <c r="W300" s="105"/>
      <c r="X300" s="105"/>
      <c r="Y300" s="105"/>
      <c r="Z300" s="105"/>
      <c r="AA300" s="105"/>
      <c r="AB300" s="105"/>
      <c r="AC300" s="109"/>
      <c r="AD300" s="107"/>
      <c r="AE300" s="102"/>
      <c r="AF300" s="109"/>
      <c r="AG300" s="107"/>
      <c r="AH300" s="111"/>
      <c r="AI300" s="111"/>
      <c r="AJ300" s="131" t="str">
        <f t="shared" ca="1" si="10"/>
        <v/>
      </c>
      <c r="AK300" s="102"/>
      <c r="AL300" s="102"/>
      <c r="AM300" s="105"/>
      <c r="AN300" s="105"/>
      <c r="AO300" s="105"/>
      <c r="AP300" s="109"/>
      <c r="AQ300" s="112"/>
      <c r="AR300" s="102"/>
      <c r="AS300" s="102"/>
      <c r="AT300" s="113"/>
      <c r="AU300" s="108"/>
      <c r="AV300" s="107"/>
      <c r="AW300" s="109"/>
      <c r="AX300" s="115">
        <f t="shared" si="11"/>
        <v>1900</v>
      </c>
      <c r="AY300" s="115">
        <f t="shared" si="12"/>
        <v>1900</v>
      </c>
    </row>
    <row r="301" spans="1:51" ht="22.5" customHeight="1">
      <c r="A301" s="102"/>
      <c r="B301" s="102"/>
      <c r="C301" s="102"/>
      <c r="D301" s="102"/>
      <c r="E301" s="102"/>
      <c r="F301" s="102"/>
      <c r="G301" s="102"/>
      <c r="H301" s="102"/>
      <c r="I301" s="102"/>
      <c r="J301" s="102"/>
      <c r="K301" s="104"/>
      <c r="L301" s="63" t="str">
        <f t="shared" ca="1" si="9"/>
        <v/>
      </c>
      <c r="M301" s="104"/>
      <c r="N301" s="105"/>
      <c r="O301" s="104"/>
      <c r="P301" s="102"/>
      <c r="Q301" s="111"/>
      <c r="R301" s="118"/>
      <c r="S301" s="107"/>
      <c r="T301" s="102"/>
      <c r="U301" s="102"/>
      <c r="V301" s="102"/>
      <c r="W301" s="105"/>
      <c r="X301" s="105"/>
      <c r="Y301" s="105"/>
      <c r="Z301" s="105"/>
      <c r="AA301" s="105"/>
      <c r="AB301" s="105"/>
      <c r="AC301" s="109"/>
      <c r="AD301" s="107"/>
      <c r="AE301" s="102"/>
      <c r="AF301" s="109"/>
      <c r="AG301" s="107"/>
      <c r="AH301" s="111"/>
      <c r="AI301" s="111"/>
      <c r="AJ301" s="131" t="str">
        <f t="shared" ca="1" si="10"/>
        <v/>
      </c>
      <c r="AK301" s="102"/>
      <c r="AL301" s="102"/>
      <c r="AM301" s="105"/>
      <c r="AN301" s="105"/>
      <c r="AO301" s="105"/>
      <c r="AP301" s="109"/>
      <c r="AQ301" s="112"/>
      <c r="AR301" s="102"/>
      <c r="AS301" s="102"/>
      <c r="AT301" s="113"/>
      <c r="AU301" s="108"/>
      <c r="AV301" s="107"/>
      <c r="AW301" s="109"/>
      <c r="AX301" s="115">
        <f t="shared" si="11"/>
        <v>1900</v>
      </c>
      <c r="AY301" s="115">
        <f t="shared" si="12"/>
        <v>1900</v>
      </c>
    </row>
    <row r="302" spans="1:51" ht="22.5" customHeight="1">
      <c r="A302" s="102"/>
      <c r="B302" s="102"/>
      <c r="C302" s="102"/>
      <c r="D302" s="102"/>
      <c r="E302" s="102"/>
      <c r="F302" s="102"/>
      <c r="G302" s="102"/>
      <c r="H302" s="102"/>
      <c r="I302" s="102"/>
      <c r="J302" s="102"/>
      <c r="K302" s="104"/>
      <c r="L302" s="63" t="str">
        <f t="shared" ca="1" si="9"/>
        <v/>
      </c>
      <c r="M302" s="104"/>
      <c r="N302" s="105"/>
      <c r="O302" s="104"/>
      <c r="P302" s="102"/>
      <c r="Q302" s="111"/>
      <c r="R302" s="118"/>
      <c r="S302" s="107"/>
      <c r="T302" s="102"/>
      <c r="U302" s="102"/>
      <c r="V302" s="102"/>
      <c r="W302" s="105"/>
      <c r="X302" s="105"/>
      <c r="Y302" s="105"/>
      <c r="Z302" s="105"/>
      <c r="AA302" s="105"/>
      <c r="AB302" s="105"/>
      <c r="AC302" s="109"/>
      <c r="AD302" s="107"/>
      <c r="AE302" s="102"/>
      <c r="AF302" s="109"/>
      <c r="AG302" s="107"/>
      <c r="AH302" s="111"/>
      <c r="AI302" s="111"/>
      <c r="AJ302" s="131" t="str">
        <f t="shared" ca="1" si="10"/>
        <v/>
      </c>
      <c r="AK302" s="102"/>
      <c r="AL302" s="102"/>
      <c r="AM302" s="105"/>
      <c r="AN302" s="105"/>
      <c r="AO302" s="105"/>
      <c r="AP302" s="109"/>
      <c r="AQ302" s="112"/>
      <c r="AR302" s="102"/>
      <c r="AS302" s="102"/>
      <c r="AT302" s="113"/>
      <c r="AU302" s="108"/>
      <c r="AV302" s="107"/>
      <c r="AW302" s="109"/>
      <c r="AX302" s="115">
        <f t="shared" si="11"/>
        <v>1900</v>
      </c>
      <c r="AY302" s="115">
        <f t="shared" si="12"/>
        <v>1900</v>
      </c>
    </row>
    <row r="303" spans="1:51" ht="22.5" customHeight="1">
      <c r="A303" s="102"/>
      <c r="B303" s="102"/>
      <c r="C303" s="102"/>
      <c r="D303" s="102"/>
      <c r="E303" s="102"/>
      <c r="F303" s="102"/>
      <c r="G303" s="102"/>
      <c r="H303" s="102"/>
      <c r="I303" s="102"/>
      <c r="J303" s="102"/>
      <c r="K303" s="104"/>
      <c r="L303" s="63" t="str">
        <f t="shared" ca="1" si="9"/>
        <v/>
      </c>
      <c r="M303" s="104"/>
      <c r="N303" s="105"/>
      <c r="O303" s="104"/>
      <c r="P303" s="102"/>
      <c r="Q303" s="111"/>
      <c r="R303" s="118"/>
      <c r="S303" s="107"/>
      <c r="T303" s="102"/>
      <c r="U303" s="102"/>
      <c r="V303" s="102"/>
      <c r="W303" s="105"/>
      <c r="X303" s="105"/>
      <c r="Y303" s="105"/>
      <c r="Z303" s="105"/>
      <c r="AA303" s="105"/>
      <c r="AB303" s="105"/>
      <c r="AC303" s="109"/>
      <c r="AD303" s="107"/>
      <c r="AE303" s="102"/>
      <c r="AF303" s="109"/>
      <c r="AG303" s="107"/>
      <c r="AH303" s="111"/>
      <c r="AI303" s="111"/>
      <c r="AJ303" s="131" t="str">
        <f t="shared" ca="1" si="10"/>
        <v/>
      </c>
      <c r="AK303" s="102"/>
      <c r="AL303" s="102"/>
      <c r="AM303" s="105"/>
      <c r="AN303" s="105"/>
      <c r="AO303" s="105"/>
      <c r="AP303" s="109"/>
      <c r="AQ303" s="112"/>
      <c r="AR303" s="102"/>
      <c r="AS303" s="102"/>
      <c r="AT303" s="113"/>
      <c r="AU303" s="108"/>
      <c r="AV303" s="107"/>
      <c r="AW303" s="109"/>
      <c r="AX303" s="115">
        <f t="shared" si="11"/>
        <v>1900</v>
      </c>
      <c r="AY303" s="115">
        <f t="shared" si="12"/>
        <v>1900</v>
      </c>
    </row>
    <row r="304" spans="1:51" ht="22.5" customHeight="1">
      <c r="A304" s="102"/>
      <c r="B304" s="102"/>
      <c r="C304" s="102"/>
      <c r="D304" s="102"/>
      <c r="E304" s="102"/>
      <c r="F304" s="102"/>
      <c r="G304" s="102"/>
      <c r="H304" s="102"/>
      <c r="I304" s="102"/>
      <c r="J304" s="102"/>
      <c r="K304" s="104"/>
      <c r="L304" s="63" t="str">
        <f t="shared" ca="1" si="9"/>
        <v/>
      </c>
      <c r="M304" s="104"/>
      <c r="N304" s="105"/>
      <c r="O304" s="104"/>
      <c r="P304" s="102"/>
      <c r="Q304" s="111"/>
      <c r="R304" s="118"/>
      <c r="S304" s="107"/>
      <c r="T304" s="102"/>
      <c r="U304" s="102"/>
      <c r="V304" s="102"/>
      <c r="W304" s="105"/>
      <c r="X304" s="105"/>
      <c r="Y304" s="105"/>
      <c r="Z304" s="105"/>
      <c r="AA304" s="105"/>
      <c r="AB304" s="105"/>
      <c r="AC304" s="109"/>
      <c r="AD304" s="107"/>
      <c r="AE304" s="102"/>
      <c r="AF304" s="109"/>
      <c r="AG304" s="107"/>
      <c r="AH304" s="111"/>
      <c r="AI304" s="111"/>
      <c r="AJ304" s="131" t="str">
        <f t="shared" ca="1" si="10"/>
        <v/>
      </c>
      <c r="AK304" s="102"/>
      <c r="AL304" s="102"/>
      <c r="AM304" s="105"/>
      <c r="AN304" s="105"/>
      <c r="AO304" s="105"/>
      <c r="AP304" s="109"/>
      <c r="AQ304" s="112"/>
      <c r="AR304" s="102"/>
      <c r="AS304" s="102"/>
      <c r="AT304" s="113"/>
      <c r="AU304" s="108"/>
      <c r="AV304" s="107"/>
      <c r="AW304" s="109"/>
      <c r="AX304" s="115">
        <f t="shared" si="11"/>
        <v>1900</v>
      </c>
      <c r="AY304" s="115">
        <f t="shared" si="12"/>
        <v>1900</v>
      </c>
    </row>
    <row r="305" spans="1:51" ht="22.5" customHeight="1">
      <c r="A305" s="102"/>
      <c r="B305" s="102"/>
      <c r="C305" s="102"/>
      <c r="D305" s="102"/>
      <c r="E305" s="102"/>
      <c r="F305" s="102"/>
      <c r="G305" s="102"/>
      <c r="H305" s="102"/>
      <c r="I305" s="102"/>
      <c r="J305" s="102"/>
      <c r="K305" s="104"/>
      <c r="L305" s="63" t="str">
        <f t="shared" ca="1" si="9"/>
        <v/>
      </c>
      <c r="M305" s="104"/>
      <c r="N305" s="105"/>
      <c r="O305" s="104"/>
      <c r="P305" s="102"/>
      <c r="Q305" s="111"/>
      <c r="R305" s="118"/>
      <c r="S305" s="107"/>
      <c r="T305" s="102"/>
      <c r="U305" s="102"/>
      <c r="V305" s="102"/>
      <c r="W305" s="105"/>
      <c r="X305" s="105"/>
      <c r="Y305" s="105"/>
      <c r="Z305" s="105"/>
      <c r="AA305" s="105"/>
      <c r="AB305" s="105"/>
      <c r="AC305" s="109"/>
      <c r="AD305" s="107"/>
      <c r="AE305" s="102"/>
      <c r="AF305" s="109"/>
      <c r="AG305" s="107"/>
      <c r="AH305" s="111"/>
      <c r="AI305" s="111"/>
      <c r="AJ305" s="131" t="str">
        <f t="shared" ca="1" si="10"/>
        <v/>
      </c>
      <c r="AK305" s="102"/>
      <c r="AL305" s="102"/>
      <c r="AM305" s="105"/>
      <c r="AN305" s="105"/>
      <c r="AO305" s="105"/>
      <c r="AP305" s="109"/>
      <c r="AQ305" s="112"/>
      <c r="AR305" s="102"/>
      <c r="AS305" s="102"/>
      <c r="AT305" s="113"/>
      <c r="AU305" s="108"/>
      <c r="AV305" s="107"/>
      <c r="AW305" s="109"/>
      <c r="AX305" s="115">
        <f t="shared" si="11"/>
        <v>1900</v>
      </c>
      <c r="AY305" s="115">
        <f t="shared" si="12"/>
        <v>1900</v>
      </c>
    </row>
    <row r="306" spans="1:51" ht="22.5" customHeight="1">
      <c r="A306" s="102"/>
      <c r="B306" s="102"/>
      <c r="C306" s="102"/>
      <c r="D306" s="102"/>
      <c r="E306" s="102"/>
      <c r="F306" s="102"/>
      <c r="G306" s="102"/>
      <c r="H306" s="102"/>
      <c r="I306" s="102"/>
      <c r="J306" s="102"/>
      <c r="K306" s="104"/>
      <c r="L306" s="63" t="str">
        <f t="shared" ca="1" si="9"/>
        <v/>
      </c>
      <c r="M306" s="104"/>
      <c r="N306" s="105"/>
      <c r="O306" s="104"/>
      <c r="P306" s="102"/>
      <c r="Q306" s="111"/>
      <c r="R306" s="118"/>
      <c r="S306" s="107"/>
      <c r="T306" s="102"/>
      <c r="U306" s="102"/>
      <c r="V306" s="102"/>
      <c r="W306" s="105"/>
      <c r="X306" s="105"/>
      <c r="Y306" s="105"/>
      <c r="Z306" s="105"/>
      <c r="AA306" s="105"/>
      <c r="AB306" s="105"/>
      <c r="AC306" s="109"/>
      <c r="AD306" s="107"/>
      <c r="AE306" s="102"/>
      <c r="AF306" s="109"/>
      <c r="AG306" s="107"/>
      <c r="AH306" s="111"/>
      <c r="AI306" s="111"/>
      <c r="AJ306" s="131" t="str">
        <f t="shared" ca="1" si="10"/>
        <v/>
      </c>
      <c r="AK306" s="102"/>
      <c r="AL306" s="102"/>
      <c r="AM306" s="105"/>
      <c r="AN306" s="105"/>
      <c r="AO306" s="105"/>
      <c r="AP306" s="109"/>
      <c r="AQ306" s="112"/>
      <c r="AR306" s="102"/>
      <c r="AS306" s="102"/>
      <c r="AT306" s="113"/>
      <c r="AU306" s="108"/>
      <c r="AV306" s="107"/>
      <c r="AW306" s="109"/>
      <c r="AX306" s="115">
        <f t="shared" si="11"/>
        <v>1900</v>
      </c>
      <c r="AY306" s="115">
        <f t="shared" si="12"/>
        <v>1900</v>
      </c>
    </row>
    <row r="307" spans="1:51" ht="22.5" customHeight="1">
      <c r="A307" s="102"/>
      <c r="B307" s="102"/>
      <c r="C307" s="102"/>
      <c r="D307" s="102"/>
      <c r="E307" s="102"/>
      <c r="F307" s="102"/>
      <c r="G307" s="102"/>
      <c r="H307" s="102"/>
      <c r="I307" s="102"/>
      <c r="J307" s="102"/>
      <c r="K307" s="104"/>
      <c r="L307" s="63" t="str">
        <f t="shared" ca="1" si="9"/>
        <v/>
      </c>
      <c r="M307" s="104"/>
      <c r="N307" s="105"/>
      <c r="O307" s="104"/>
      <c r="P307" s="102"/>
      <c r="Q307" s="111"/>
      <c r="R307" s="118"/>
      <c r="S307" s="107"/>
      <c r="T307" s="102"/>
      <c r="U307" s="102"/>
      <c r="V307" s="102"/>
      <c r="W307" s="105"/>
      <c r="X307" s="105"/>
      <c r="Y307" s="105"/>
      <c r="Z307" s="105"/>
      <c r="AA307" s="105"/>
      <c r="AB307" s="105"/>
      <c r="AC307" s="109"/>
      <c r="AD307" s="107"/>
      <c r="AE307" s="102"/>
      <c r="AF307" s="109"/>
      <c r="AG307" s="107"/>
      <c r="AH307" s="111"/>
      <c r="AI307" s="111"/>
      <c r="AJ307" s="131" t="str">
        <f t="shared" ca="1" si="10"/>
        <v/>
      </c>
      <c r="AK307" s="102"/>
      <c r="AL307" s="102"/>
      <c r="AM307" s="105"/>
      <c r="AN307" s="105"/>
      <c r="AO307" s="105"/>
      <c r="AP307" s="109"/>
      <c r="AQ307" s="112"/>
      <c r="AR307" s="102"/>
      <c r="AS307" s="102"/>
      <c r="AT307" s="113"/>
      <c r="AU307" s="108"/>
      <c r="AV307" s="107"/>
      <c r="AW307" s="109"/>
      <c r="AX307" s="115">
        <f t="shared" si="11"/>
        <v>1900</v>
      </c>
      <c r="AY307" s="115">
        <f t="shared" si="12"/>
        <v>1900</v>
      </c>
    </row>
    <row r="308" spans="1:51" ht="22.5" customHeight="1">
      <c r="A308" s="102"/>
      <c r="B308" s="102"/>
      <c r="C308" s="102"/>
      <c r="D308" s="102"/>
      <c r="E308" s="102"/>
      <c r="F308" s="102"/>
      <c r="G308" s="102"/>
      <c r="H308" s="102"/>
      <c r="I308" s="102"/>
      <c r="J308" s="102"/>
      <c r="K308" s="104"/>
      <c r="L308" s="63" t="str">
        <f t="shared" ca="1" si="9"/>
        <v/>
      </c>
      <c r="M308" s="104"/>
      <c r="N308" s="105"/>
      <c r="O308" s="104"/>
      <c r="P308" s="102"/>
      <c r="Q308" s="111"/>
      <c r="R308" s="118"/>
      <c r="S308" s="107"/>
      <c r="T308" s="102"/>
      <c r="U308" s="102"/>
      <c r="V308" s="102"/>
      <c r="W308" s="105"/>
      <c r="X308" s="105"/>
      <c r="Y308" s="105"/>
      <c r="Z308" s="105"/>
      <c r="AA308" s="105"/>
      <c r="AB308" s="105"/>
      <c r="AC308" s="109"/>
      <c r="AD308" s="107"/>
      <c r="AE308" s="102"/>
      <c r="AF308" s="109"/>
      <c r="AG308" s="107"/>
      <c r="AH308" s="111"/>
      <c r="AI308" s="111"/>
      <c r="AJ308" s="131" t="str">
        <f t="shared" ca="1" si="10"/>
        <v/>
      </c>
      <c r="AK308" s="102"/>
      <c r="AL308" s="102"/>
      <c r="AM308" s="105"/>
      <c r="AN308" s="105"/>
      <c r="AO308" s="105"/>
      <c r="AP308" s="109"/>
      <c r="AQ308" s="112"/>
      <c r="AR308" s="102"/>
      <c r="AS308" s="102"/>
      <c r="AT308" s="113"/>
      <c r="AU308" s="108"/>
      <c r="AV308" s="107"/>
      <c r="AW308" s="109"/>
      <c r="AX308" s="115">
        <f t="shared" si="11"/>
        <v>1900</v>
      </c>
      <c r="AY308" s="115">
        <f t="shared" si="12"/>
        <v>1900</v>
      </c>
    </row>
    <row r="309" spans="1:51" ht="22.5" customHeight="1">
      <c r="A309" s="102"/>
      <c r="B309" s="102"/>
      <c r="C309" s="102"/>
      <c r="D309" s="102"/>
      <c r="E309" s="102"/>
      <c r="F309" s="102"/>
      <c r="G309" s="102"/>
      <c r="H309" s="102"/>
      <c r="I309" s="102"/>
      <c r="J309" s="102"/>
      <c r="K309" s="104"/>
      <c r="L309" s="63" t="str">
        <f t="shared" ca="1" si="9"/>
        <v/>
      </c>
      <c r="M309" s="104"/>
      <c r="N309" s="105"/>
      <c r="O309" s="104"/>
      <c r="P309" s="102"/>
      <c r="Q309" s="111"/>
      <c r="R309" s="118"/>
      <c r="S309" s="107"/>
      <c r="T309" s="102"/>
      <c r="U309" s="102"/>
      <c r="V309" s="102"/>
      <c r="W309" s="105"/>
      <c r="X309" s="105"/>
      <c r="Y309" s="105"/>
      <c r="Z309" s="105"/>
      <c r="AA309" s="105"/>
      <c r="AB309" s="105"/>
      <c r="AC309" s="109"/>
      <c r="AD309" s="107"/>
      <c r="AE309" s="102"/>
      <c r="AF309" s="109"/>
      <c r="AG309" s="107"/>
      <c r="AH309" s="111"/>
      <c r="AI309" s="111"/>
      <c r="AJ309" s="131" t="str">
        <f t="shared" ca="1" si="10"/>
        <v/>
      </c>
      <c r="AK309" s="102"/>
      <c r="AL309" s="102"/>
      <c r="AM309" s="105"/>
      <c r="AN309" s="105"/>
      <c r="AO309" s="105"/>
      <c r="AP309" s="109"/>
      <c r="AQ309" s="112"/>
      <c r="AR309" s="102"/>
      <c r="AS309" s="102"/>
      <c r="AT309" s="113"/>
      <c r="AU309" s="108"/>
      <c r="AV309" s="107"/>
      <c r="AW309" s="109"/>
      <c r="AX309" s="115">
        <f t="shared" si="11"/>
        <v>1900</v>
      </c>
      <c r="AY309" s="115">
        <f t="shared" si="12"/>
        <v>1900</v>
      </c>
    </row>
    <row r="310" spans="1:51" ht="22.5" customHeight="1">
      <c r="A310" s="102"/>
      <c r="B310" s="102"/>
      <c r="C310" s="102"/>
      <c r="D310" s="102"/>
      <c r="E310" s="102"/>
      <c r="F310" s="102"/>
      <c r="G310" s="102"/>
      <c r="H310" s="102"/>
      <c r="I310" s="102"/>
      <c r="J310" s="102"/>
      <c r="K310" s="104"/>
      <c r="L310" s="63" t="str">
        <f t="shared" ca="1" si="9"/>
        <v/>
      </c>
      <c r="M310" s="104"/>
      <c r="N310" s="105"/>
      <c r="O310" s="104"/>
      <c r="P310" s="102"/>
      <c r="Q310" s="111"/>
      <c r="R310" s="118"/>
      <c r="S310" s="107"/>
      <c r="T310" s="102"/>
      <c r="U310" s="102"/>
      <c r="V310" s="102"/>
      <c r="W310" s="105"/>
      <c r="X310" s="105"/>
      <c r="Y310" s="105"/>
      <c r="Z310" s="105"/>
      <c r="AA310" s="105"/>
      <c r="AB310" s="105"/>
      <c r="AC310" s="109"/>
      <c r="AD310" s="107"/>
      <c r="AE310" s="102"/>
      <c r="AF310" s="109"/>
      <c r="AG310" s="107"/>
      <c r="AH310" s="111"/>
      <c r="AI310" s="111"/>
      <c r="AJ310" s="131" t="str">
        <f t="shared" ca="1" si="10"/>
        <v/>
      </c>
      <c r="AK310" s="102"/>
      <c r="AL310" s="102"/>
      <c r="AM310" s="105"/>
      <c r="AN310" s="105"/>
      <c r="AO310" s="105"/>
      <c r="AP310" s="109"/>
      <c r="AQ310" s="112"/>
      <c r="AR310" s="102"/>
      <c r="AS310" s="102"/>
      <c r="AT310" s="113"/>
      <c r="AU310" s="108"/>
      <c r="AV310" s="107"/>
      <c r="AW310" s="109"/>
      <c r="AX310" s="115">
        <f t="shared" si="11"/>
        <v>1900</v>
      </c>
      <c r="AY310" s="115">
        <f t="shared" si="12"/>
        <v>1900</v>
      </c>
    </row>
    <row r="311" spans="1:51" ht="22.5" customHeight="1">
      <c r="A311" s="102"/>
      <c r="B311" s="102"/>
      <c r="C311" s="102"/>
      <c r="D311" s="102"/>
      <c r="E311" s="102"/>
      <c r="F311" s="102"/>
      <c r="G311" s="102"/>
      <c r="H311" s="102"/>
      <c r="I311" s="102"/>
      <c r="J311" s="102"/>
      <c r="K311" s="104"/>
      <c r="L311" s="63" t="str">
        <f t="shared" ca="1" si="9"/>
        <v/>
      </c>
      <c r="M311" s="104"/>
      <c r="N311" s="105"/>
      <c r="O311" s="104"/>
      <c r="P311" s="102"/>
      <c r="Q311" s="111"/>
      <c r="R311" s="118"/>
      <c r="S311" s="107"/>
      <c r="T311" s="102"/>
      <c r="U311" s="102"/>
      <c r="V311" s="102"/>
      <c r="W311" s="105"/>
      <c r="X311" s="105"/>
      <c r="Y311" s="105"/>
      <c r="Z311" s="105"/>
      <c r="AA311" s="105"/>
      <c r="AB311" s="105"/>
      <c r="AC311" s="109"/>
      <c r="AD311" s="107"/>
      <c r="AE311" s="102"/>
      <c r="AF311" s="109"/>
      <c r="AG311" s="107"/>
      <c r="AH311" s="111"/>
      <c r="AI311" s="111"/>
      <c r="AJ311" s="131" t="str">
        <f t="shared" ca="1" si="10"/>
        <v/>
      </c>
      <c r="AK311" s="102"/>
      <c r="AL311" s="102"/>
      <c r="AM311" s="105"/>
      <c r="AN311" s="105"/>
      <c r="AO311" s="105"/>
      <c r="AP311" s="109"/>
      <c r="AQ311" s="112"/>
      <c r="AR311" s="102"/>
      <c r="AS311" s="102"/>
      <c r="AT311" s="113"/>
      <c r="AU311" s="108"/>
      <c r="AV311" s="107"/>
      <c r="AW311" s="109"/>
      <c r="AX311" s="115">
        <f t="shared" si="11"/>
        <v>1900</v>
      </c>
      <c r="AY311" s="115">
        <f t="shared" si="12"/>
        <v>1900</v>
      </c>
    </row>
    <row r="312" spans="1:51" ht="22.5" customHeight="1">
      <c r="A312" s="102"/>
      <c r="B312" s="102"/>
      <c r="C312" s="102"/>
      <c r="D312" s="102"/>
      <c r="E312" s="102"/>
      <c r="F312" s="102"/>
      <c r="G312" s="102"/>
      <c r="H312" s="102"/>
      <c r="I312" s="102"/>
      <c r="J312" s="102"/>
      <c r="K312" s="104"/>
      <c r="L312" s="63" t="str">
        <f t="shared" ca="1" si="9"/>
        <v/>
      </c>
      <c r="M312" s="104"/>
      <c r="N312" s="105"/>
      <c r="O312" s="104"/>
      <c r="P312" s="102"/>
      <c r="Q312" s="111"/>
      <c r="R312" s="118"/>
      <c r="S312" s="107"/>
      <c r="T312" s="102"/>
      <c r="U312" s="102"/>
      <c r="V312" s="102"/>
      <c r="W312" s="105"/>
      <c r="X312" s="105"/>
      <c r="Y312" s="105"/>
      <c r="Z312" s="105"/>
      <c r="AA312" s="105"/>
      <c r="AB312" s="105"/>
      <c r="AC312" s="109"/>
      <c r="AD312" s="107"/>
      <c r="AE312" s="102"/>
      <c r="AF312" s="109"/>
      <c r="AG312" s="107"/>
      <c r="AH312" s="111"/>
      <c r="AI312" s="111"/>
      <c r="AJ312" s="131" t="str">
        <f t="shared" ca="1" si="10"/>
        <v/>
      </c>
      <c r="AK312" s="102"/>
      <c r="AL312" s="102"/>
      <c r="AM312" s="105"/>
      <c r="AN312" s="105"/>
      <c r="AO312" s="105"/>
      <c r="AP312" s="109"/>
      <c r="AQ312" s="112"/>
      <c r="AR312" s="102"/>
      <c r="AS312" s="102"/>
      <c r="AT312" s="113"/>
      <c r="AU312" s="108"/>
      <c r="AV312" s="107"/>
      <c r="AW312" s="109"/>
      <c r="AX312" s="115">
        <f t="shared" si="11"/>
        <v>1900</v>
      </c>
      <c r="AY312" s="115">
        <f t="shared" si="12"/>
        <v>1900</v>
      </c>
    </row>
    <row r="313" spans="1:51" ht="22.5" customHeight="1">
      <c r="A313" s="102"/>
      <c r="B313" s="102"/>
      <c r="C313" s="102"/>
      <c r="D313" s="102"/>
      <c r="E313" s="102"/>
      <c r="F313" s="102"/>
      <c r="G313" s="102"/>
      <c r="H313" s="102"/>
      <c r="I313" s="102"/>
      <c r="J313" s="102"/>
      <c r="K313" s="104"/>
      <c r="L313" s="63" t="str">
        <f t="shared" ca="1" si="9"/>
        <v/>
      </c>
      <c r="M313" s="104"/>
      <c r="N313" s="105"/>
      <c r="O313" s="104"/>
      <c r="P313" s="102"/>
      <c r="Q313" s="111"/>
      <c r="R313" s="118"/>
      <c r="S313" s="107"/>
      <c r="T313" s="102"/>
      <c r="U313" s="102"/>
      <c r="V313" s="102"/>
      <c r="W313" s="105"/>
      <c r="X313" s="105"/>
      <c r="Y313" s="105"/>
      <c r="Z313" s="105"/>
      <c r="AA313" s="105"/>
      <c r="AB313" s="105"/>
      <c r="AC313" s="109"/>
      <c r="AD313" s="107"/>
      <c r="AE313" s="102"/>
      <c r="AF313" s="109"/>
      <c r="AG313" s="107"/>
      <c r="AH313" s="111"/>
      <c r="AI313" s="111"/>
      <c r="AJ313" s="131" t="str">
        <f t="shared" ca="1" si="10"/>
        <v/>
      </c>
      <c r="AK313" s="102"/>
      <c r="AL313" s="102"/>
      <c r="AM313" s="105"/>
      <c r="AN313" s="105"/>
      <c r="AO313" s="105"/>
      <c r="AP313" s="109"/>
      <c r="AQ313" s="112"/>
      <c r="AR313" s="102"/>
      <c r="AS313" s="102"/>
      <c r="AT313" s="113"/>
      <c r="AU313" s="108"/>
      <c r="AV313" s="107"/>
      <c r="AW313" s="109"/>
      <c r="AX313" s="115">
        <f t="shared" si="11"/>
        <v>1900</v>
      </c>
      <c r="AY313" s="115">
        <f t="shared" si="12"/>
        <v>1900</v>
      </c>
    </row>
    <row r="314" spans="1:51" ht="22.5" customHeight="1">
      <c r="A314" s="102"/>
      <c r="B314" s="102"/>
      <c r="C314" s="102"/>
      <c r="D314" s="102"/>
      <c r="E314" s="102"/>
      <c r="F314" s="102"/>
      <c r="G314" s="102"/>
      <c r="H314" s="102"/>
      <c r="I314" s="102"/>
      <c r="J314" s="102"/>
      <c r="K314" s="104"/>
      <c r="L314" s="63" t="str">
        <f t="shared" ca="1" si="9"/>
        <v/>
      </c>
      <c r="M314" s="104"/>
      <c r="N314" s="105"/>
      <c r="O314" s="104"/>
      <c r="P314" s="102"/>
      <c r="Q314" s="111"/>
      <c r="R314" s="118"/>
      <c r="S314" s="107"/>
      <c r="T314" s="102"/>
      <c r="U314" s="102"/>
      <c r="V314" s="102"/>
      <c r="W314" s="105"/>
      <c r="X314" s="105"/>
      <c r="Y314" s="105"/>
      <c r="Z314" s="105"/>
      <c r="AA314" s="105"/>
      <c r="AB314" s="105"/>
      <c r="AC314" s="109"/>
      <c r="AD314" s="107"/>
      <c r="AE314" s="102"/>
      <c r="AF314" s="109"/>
      <c r="AG314" s="107"/>
      <c r="AH314" s="111"/>
      <c r="AI314" s="111"/>
      <c r="AJ314" s="131" t="str">
        <f t="shared" ca="1" si="10"/>
        <v/>
      </c>
      <c r="AK314" s="102"/>
      <c r="AL314" s="102"/>
      <c r="AM314" s="105"/>
      <c r="AN314" s="105"/>
      <c r="AO314" s="105"/>
      <c r="AP314" s="109"/>
      <c r="AQ314" s="112"/>
      <c r="AR314" s="102"/>
      <c r="AS314" s="102"/>
      <c r="AT314" s="113"/>
      <c r="AU314" s="108"/>
      <c r="AV314" s="107"/>
      <c r="AW314" s="109"/>
      <c r="AX314" s="115">
        <f t="shared" si="11"/>
        <v>1900</v>
      </c>
      <c r="AY314" s="115">
        <f t="shared" si="12"/>
        <v>1900</v>
      </c>
    </row>
    <row r="315" spans="1:51" ht="22.5" customHeight="1">
      <c r="A315" s="102"/>
      <c r="B315" s="102"/>
      <c r="C315" s="102"/>
      <c r="D315" s="102"/>
      <c r="E315" s="102"/>
      <c r="F315" s="102"/>
      <c r="G315" s="102"/>
      <c r="H315" s="102"/>
      <c r="I315" s="102"/>
      <c r="J315" s="102"/>
      <c r="K315" s="104"/>
      <c r="L315" s="63" t="str">
        <f t="shared" ca="1" si="9"/>
        <v/>
      </c>
      <c r="M315" s="104"/>
      <c r="N315" s="105"/>
      <c r="O315" s="104"/>
      <c r="P315" s="102"/>
      <c r="Q315" s="111"/>
      <c r="R315" s="118"/>
      <c r="S315" s="107"/>
      <c r="T315" s="102"/>
      <c r="U315" s="102"/>
      <c r="V315" s="102"/>
      <c r="W315" s="105"/>
      <c r="X315" s="105"/>
      <c r="Y315" s="105"/>
      <c r="Z315" s="105"/>
      <c r="AA315" s="105"/>
      <c r="AB315" s="105"/>
      <c r="AC315" s="109"/>
      <c r="AD315" s="107"/>
      <c r="AE315" s="102"/>
      <c r="AF315" s="109"/>
      <c r="AG315" s="107"/>
      <c r="AH315" s="111"/>
      <c r="AI315" s="111"/>
      <c r="AJ315" s="131" t="str">
        <f t="shared" ca="1" si="10"/>
        <v/>
      </c>
      <c r="AK315" s="102"/>
      <c r="AL315" s="102"/>
      <c r="AM315" s="105"/>
      <c r="AN315" s="105"/>
      <c r="AO315" s="105"/>
      <c r="AP315" s="109"/>
      <c r="AQ315" s="112"/>
      <c r="AR315" s="102"/>
      <c r="AS315" s="102"/>
      <c r="AT315" s="113"/>
      <c r="AU315" s="108"/>
      <c r="AV315" s="107"/>
      <c r="AW315" s="109"/>
      <c r="AX315" s="115">
        <f t="shared" si="11"/>
        <v>1900</v>
      </c>
      <c r="AY315" s="115">
        <f t="shared" si="12"/>
        <v>1900</v>
      </c>
    </row>
    <row r="316" spans="1:51" ht="22.5" customHeight="1">
      <c r="A316" s="102"/>
      <c r="B316" s="102"/>
      <c r="C316" s="102"/>
      <c r="D316" s="102"/>
      <c r="E316" s="102"/>
      <c r="F316" s="102"/>
      <c r="G316" s="102"/>
      <c r="H316" s="102"/>
      <c r="I316" s="102"/>
      <c r="J316" s="102"/>
      <c r="K316" s="104"/>
      <c r="L316" s="63" t="str">
        <f t="shared" ca="1" si="9"/>
        <v/>
      </c>
      <c r="M316" s="104"/>
      <c r="N316" s="105"/>
      <c r="O316" s="104"/>
      <c r="P316" s="102"/>
      <c r="Q316" s="111"/>
      <c r="R316" s="118"/>
      <c r="S316" s="107"/>
      <c r="T316" s="102"/>
      <c r="U316" s="102"/>
      <c r="V316" s="102"/>
      <c r="W316" s="105"/>
      <c r="X316" s="105"/>
      <c r="Y316" s="105"/>
      <c r="Z316" s="105"/>
      <c r="AA316" s="105"/>
      <c r="AB316" s="105"/>
      <c r="AC316" s="109"/>
      <c r="AD316" s="107"/>
      <c r="AE316" s="102"/>
      <c r="AF316" s="109"/>
      <c r="AG316" s="107"/>
      <c r="AH316" s="111"/>
      <c r="AI316" s="111"/>
      <c r="AJ316" s="131" t="str">
        <f t="shared" ca="1" si="10"/>
        <v/>
      </c>
      <c r="AK316" s="102"/>
      <c r="AL316" s="102"/>
      <c r="AM316" s="105"/>
      <c r="AN316" s="105"/>
      <c r="AO316" s="105"/>
      <c r="AP316" s="109"/>
      <c r="AQ316" s="112"/>
      <c r="AR316" s="102"/>
      <c r="AS316" s="102"/>
      <c r="AT316" s="113"/>
      <c r="AU316" s="108"/>
      <c r="AV316" s="107"/>
      <c r="AW316" s="109"/>
      <c r="AX316" s="115">
        <f t="shared" si="11"/>
        <v>1900</v>
      </c>
      <c r="AY316" s="115">
        <f t="shared" si="12"/>
        <v>1900</v>
      </c>
    </row>
    <row r="317" spans="1:51" ht="22.5" customHeight="1">
      <c r="A317" s="102"/>
      <c r="B317" s="102"/>
      <c r="C317" s="102"/>
      <c r="D317" s="102"/>
      <c r="E317" s="102"/>
      <c r="F317" s="102"/>
      <c r="G317" s="102"/>
      <c r="H317" s="102"/>
      <c r="I317" s="102"/>
      <c r="J317" s="102"/>
      <c r="K317" s="104"/>
      <c r="L317" s="63" t="str">
        <f t="shared" ca="1" si="9"/>
        <v/>
      </c>
      <c r="M317" s="104"/>
      <c r="N317" s="105"/>
      <c r="O317" s="104"/>
      <c r="P317" s="102"/>
      <c r="Q317" s="111"/>
      <c r="R317" s="118"/>
      <c r="S317" s="107"/>
      <c r="T317" s="102"/>
      <c r="U317" s="102"/>
      <c r="V317" s="102"/>
      <c r="W317" s="105"/>
      <c r="X317" s="105"/>
      <c r="Y317" s="105"/>
      <c r="Z317" s="105"/>
      <c r="AA317" s="105"/>
      <c r="AB317" s="105"/>
      <c r="AC317" s="109"/>
      <c r="AD317" s="107"/>
      <c r="AE317" s="102"/>
      <c r="AF317" s="109"/>
      <c r="AG317" s="107"/>
      <c r="AH317" s="111"/>
      <c r="AI317" s="111"/>
      <c r="AJ317" s="131" t="str">
        <f t="shared" ca="1" si="10"/>
        <v/>
      </c>
      <c r="AK317" s="102"/>
      <c r="AL317" s="102"/>
      <c r="AM317" s="105"/>
      <c r="AN317" s="105"/>
      <c r="AO317" s="105"/>
      <c r="AP317" s="109"/>
      <c r="AQ317" s="112"/>
      <c r="AR317" s="102"/>
      <c r="AS317" s="102"/>
      <c r="AT317" s="113"/>
      <c r="AU317" s="108"/>
      <c r="AV317" s="107"/>
      <c r="AW317" s="109"/>
      <c r="AX317" s="115">
        <f t="shared" si="11"/>
        <v>1900</v>
      </c>
      <c r="AY317" s="115">
        <f t="shared" si="12"/>
        <v>1900</v>
      </c>
    </row>
    <row r="318" spans="1:51" ht="22.5" customHeight="1">
      <c r="A318" s="102"/>
      <c r="B318" s="102"/>
      <c r="C318" s="102"/>
      <c r="D318" s="102"/>
      <c r="E318" s="102"/>
      <c r="F318" s="102"/>
      <c r="G318" s="102"/>
      <c r="H318" s="102"/>
      <c r="I318" s="102"/>
      <c r="J318" s="102"/>
      <c r="K318" s="104"/>
      <c r="L318" s="63" t="str">
        <f t="shared" ca="1" si="9"/>
        <v/>
      </c>
      <c r="M318" s="104"/>
      <c r="N318" s="105"/>
      <c r="O318" s="104"/>
      <c r="P318" s="102"/>
      <c r="Q318" s="111"/>
      <c r="R318" s="118"/>
      <c r="S318" s="107"/>
      <c r="T318" s="102"/>
      <c r="U318" s="102"/>
      <c r="V318" s="102"/>
      <c r="W318" s="105"/>
      <c r="X318" s="105"/>
      <c r="Y318" s="105"/>
      <c r="Z318" s="105"/>
      <c r="AA318" s="105"/>
      <c r="AB318" s="105"/>
      <c r="AC318" s="109"/>
      <c r="AD318" s="107"/>
      <c r="AE318" s="102"/>
      <c r="AF318" s="109"/>
      <c r="AG318" s="107"/>
      <c r="AH318" s="111"/>
      <c r="AI318" s="111"/>
      <c r="AJ318" s="131" t="str">
        <f t="shared" ca="1" si="10"/>
        <v/>
      </c>
      <c r="AK318" s="102"/>
      <c r="AL318" s="102"/>
      <c r="AM318" s="105"/>
      <c r="AN318" s="105"/>
      <c r="AO318" s="105"/>
      <c r="AP318" s="109"/>
      <c r="AQ318" s="112"/>
      <c r="AR318" s="102"/>
      <c r="AS318" s="102"/>
      <c r="AT318" s="113"/>
      <c r="AU318" s="108"/>
      <c r="AV318" s="107"/>
      <c r="AW318" s="109"/>
      <c r="AX318" s="115">
        <f t="shared" si="11"/>
        <v>1900</v>
      </c>
      <c r="AY318" s="115">
        <f t="shared" si="12"/>
        <v>1900</v>
      </c>
    </row>
    <row r="319" spans="1:51" ht="22.5" customHeight="1">
      <c r="A319" s="102"/>
      <c r="B319" s="102"/>
      <c r="C319" s="102"/>
      <c r="D319" s="102"/>
      <c r="E319" s="102"/>
      <c r="F319" s="102"/>
      <c r="G319" s="102"/>
      <c r="H319" s="102"/>
      <c r="I319" s="102"/>
      <c r="J319" s="102"/>
      <c r="K319" s="104"/>
      <c r="L319" s="63" t="str">
        <f t="shared" ca="1" si="9"/>
        <v/>
      </c>
      <c r="M319" s="104"/>
      <c r="N319" s="105"/>
      <c r="O319" s="104"/>
      <c r="P319" s="102"/>
      <c r="Q319" s="111"/>
      <c r="R319" s="118"/>
      <c r="S319" s="107"/>
      <c r="T319" s="102"/>
      <c r="U319" s="102"/>
      <c r="V319" s="102"/>
      <c r="W319" s="105"/>
      <c r="X319" s="105"/>
      <c r="Y319" s="105"/>
      <c r="Z319" s="105"/>
      <c r="AA319" s="105"/>
      <c r="AB319" s="105"/>
      <c r="AC319" s="109"/>
      <c r="AD319" s="107"/>
      <c r="AE319" s="102"/>
      <c r="AF319" s="109"/>
      <c r="AG319" s="107"/>
      <c r="AH319" s="111"/>
      <c r="AI319" s="111"/>
      <c r="AJ319" s="131" t="str">
        <f t="shared" ca="1" si="10"/>
        <v/>
      </c>
      <c r="AK319" s="102"/>
      <c r="AL319" s="102"/>
      <c r="AM319" s="105"/>
      <c r="AN319" s="105"/>
      <c r="AO319" s="105"/>
      <c r="AP319" s="109"/>
      <c r="AQ319" s="112"/>
      <c r="AR319" s="102"/>
      <c r="AS319" s="102"/>
      <c r="AT319" s="113"/>
      <c r="AU319" s="108"/>
      <c r="AV319" s="107"/>
      <c r="AW319" s="109"/>
      <c r="AX319" s="115">
        <f t="shared" si="11"/>
        <v>1900</v>
      </c>
      <c r="AY319" s="115">
        <f t="shared" si="12"/>
        <v>1900</v>
      </c>
    </row>
    <row r="320" spans="1:51" ht="22.5" customHeight="1">
      <c r="A320" s="102"/>
      <c r="B320" s="102"/>
      <c r="C320" s="102"/>
      <c r="D320" s="102"/>
      <c r="E320" s="102"/>
      <c r="F320" s="102"/>
      <c r="G320" s="102"/>
      <c r="H320" s="102"/>
      <c r="I320" s="102"/>
      <c r="J320" s="102"/>
      <c r="K320" s="104"/>
      <c r="L320" s="63" t="str">
        <f t="shared" ca="1" si="9"/>
        <v/>
      </c>
      <c r="M320" s="104"/>
      <c r="N320" s="105"/>
      <c r="O320" s="104"/>
      <c r="P320" s="102"/>
      <c r="Q320" s="111"/>
      <c r="R320" s="118"/>
      <c r="S320" s="107"/>
      <c r="T320" s="102"/>
      <c r="U320" s="102"/>
      <c r="V320" s="102"/>
      <c r="W320" s="105"/>
      <c r="X320" s="105"/>
      <c r="Y320" s="105"/>
      <c r="Z320" s="105"/>
      <c r="AA320" s="105"/>
      <c r="AB320" s="105"/>
      <c r="AC320" s="109"/>
      <c r="AD320" s="107"/>
      <c r="AE320" s="102"/>
      <c r="AF320" s="109"/>
      <c r="AG320" s="107"/>
      <c r="AH320" s="111"/>
      <c r="AI320" s="111"/>
      <c r="AJ320" s="131" t="str">
        <f t="shared" ca="1" si="10"/>
        <v/>
      </c>
      <c r="AK320" s="102"/>
      <c r="AL320" s="102"/>
      <c r="AM320" s="105"/>
      <c r="AN320" s="105"/>
      <c r="AO320" s="105"/>
      <c r="AP320" s="109"/>
      <c r="AQ320" s="112"/>
      <c r="AR320" s="102"/>
      <c r="AS320" s="102"/>
      <c r="AT320" s="113"/>
      <c r="AU320" s="108"/>
      <c r="AV320" s="107"/>
      <c r="AW320" s="109"/>
      <c r="AX320" s="115">
        <f t="shared" si="11"/>
        <v>1900</v>
      </c>
      <c r="AY320" s="115">
        <f t="shared" si="12"/>
        <v>1900</v>
      </c>
    </row>
    <row r="321" spans="1:51" ht="22.5" customHeight="1">
      <c r="A321" s="102"/>
      <c r="B321" s="102"/>
      <c r="C321" s="102"/>
      <c r="D321" s="102"/>
      <c r="E321" s="102"/>
      <c r="F321" s="102"/>
      <c r="G321" s="102"/>
      <c r="H321" s="102"/>
      <c r="I321" s="102"/>
      <c r="J321" s="102"/>
      <c r="K321" s="104"/>
      <c r="L321" s="63" t="str">
        <f t="shared" ca="1" si="9"/>
        <v/>
      </c>
      <c r="M321" s="104"/>
      <c r="N321" s="105"/>
      <c r="O321" s="104"/>
      <c r="P321" s="102"/>
      <c r="Q321" s="111"/>
      <c r="R321" s="118"/>
      <c r="S321" s="107"/>
      <c r="T321" s="102"/>
      <c r="U321" s="102"/>
      <c r="V321" s="102"/>
      <c r="W321" s="105"/>
      <c r="X321" s="105"/>
      <c r="Y321" s="105"/>
      <c r="Z321" s="105"/>
      <c r="AA321" s="105"/>
      <c r="AB321" s="105"/>
      <c r="AC321" s="109"/>
      <c r="AD321" s="107"/>
      <c r="AE321" s="102"/>
      <c r="AF321" s="109"/>
      <c r="AG321" s="107"/>
      <c r="AH321" s="111"/>
      <c r="AI321" s="111"/>
      <c r="AJ321" s="131" t="str">
        <f t="shared" ca="1" si="10"/>
        <v/>
      </c>
      <c r="AK321" s="102"/>
      <c r="AL321" s="102"/>
      <c r="AM321" s="105"/>
      <c r="AN321" s="105"/>
      <c r="AO321" s="105"/>
      <c r="AP321" s="109"/>
      <c r="AQ321" s="112"/>
      <c r="AR321" s="102"/>
      <c r="AS321" s="102"/>
      <c r="AT321" s="113"/>
      <c r="AU321" s="108"/>
      <c r="AV321" s="107"/>
      <c r="AW321" s="109"/>
      <c r="AX321" s="115">
        <f t="shared" si="11"/>
        <v>1900</v>
      </c>
      <c r="AY321" s="115">
        <f t="shared" si="12"/>
        <v>1900</v>
      </c>
    </row>
    <row r="322" spans="1:51" ht="22.5" customHeight="1">
      <c r="A322" s="102"/>
      <c r="B322" s="102"/>
      <c r="C322" s="102"/>
      <c r="D322" s="102"/>
      <c r="E322" s="102"/>
      <c r="F322" s="102"/>
      <c r="G322" s="102"/>
      <c r="H322" s="102"/>
      <c r="I322" s="102"/>
      <c r="J322" s="102"/>
      <c r="K322" s="104"/>
      <c r="L322" s="63" t="str">
        <f t="shared" ca="1" si="9"/>
        <v/>
      </c>
      <c r="M322" s="104"/>
      <c r="N322" s="105"/>
      <c r="O322" s="104"/>
      <c r="P322" s="102"/>
      <c r="Q322" s="111"/>
      <c r="R322" s="118"/>
      <c r="S322" s="107"/>
      <c r="T322" s="102"/>
      <c r="U322" s="102"/>
      <c r="V322" s="102"/>
      <c r="W322" s="105"/>
      <c r="X322" s="105"/>
      <c r="Y322" s="105"/>
      <c r="Z322" s="105"/>
      <c r="AA322" s="105"/>
      <c r="AB322" s="105"/>
      <c r="AC322" s="109"/>
      <c r="AD322" s="107"/>
      <c r="AE322" s="102"/>
      <c r="AF322" s="109"/>
      <c r="AG322" s="107"/>
      <c r="AH322" s="111"/>
      <c r="AI322" s="111"/>
      <c r="AJ322" s="131" t="str">
        <f t="shared" ca="1" si="10"/>
        <v/>
      </c>
      <c r="AK322" s="102"/>
      <c r="AL322" s="102"/>
      <c r="AM322" s="105"/>
      <c r="AN322" s="105"/>
      <c r="AO322" s="105"/>
      <c r="AP322" s="109"/>
      <c r="AQ322" s="112"/>
      <c r="AR322" s="102"/>
      <c r="AS322" s="102"/>
      <c r="AT322" s="113"/>
      <c r="AU322" s="108"/>
      <c r="AV322" s="107"/>
      <c r="AW322" s="109"/>
      <c r="AX322" s="115">
        <f t="shared" si="11"/>
        <v>1900</v>
      </c>
      <c r="AY322" s="115">
        <f t="shared" si="12"/>
        <v>1900</v>
      </c>
    </row>
    <row r="323" spans="1:51" ht="22.5" customHeight="1">
      <c r="A323" s="102"/>
      <c r="B323" s="102"/>
      <c r="C323" s="102"/>
      <c r="D323" s="102"/>
      <c r="E323" s="102"/>
      <c r="F323" s="102"/>
      <c r="G323" s="102"/>
      <c r="H323" s="102"/>
      <c r="I323" s="102"/>
      <c r="J323" s="102"/>
      <c r="K323" s="104"/>
      <c r="L323" s="63" t="str">
        <f t="shared" ca="1" si="9"/>
        <v/>
      </c>
      <c r="M323" s="104"/>
      <c r="N323" s="105"/>
      <c r="O323" s="104"/>
      <c r="P323" s="102"/>
      <c r="Q323" s="111"/>
      <c r="R323" s="118"/>
      <c r="S323" s="107"/>
      <c r="T323" s="102"/>
      <c r="U323" s="102"/>
      <c r="V323" s="102"/>
      <c r="W323" s="105"/>
      <c r="X323" s="105"/>
      <c r="Y323" s="105"/>
      <c r="Z323" s="105"/>
      <c r="AA323" s="105"/>
      <c r="AB323" s="105"/>
      <c r="AC323" s="109"/>
      <c r="AD323" s="107"/>
      <c r="AE323" s="102"/>
      <c r="AF323" s="109"/>
      <c r="AG323" s="107"/>
      <c r="AH323" s="111"/>
      <c r="AI323" s="111"/>
      <c r="AJ323" s="131" t="str">
        <f t="shared" ca="1" si="10"/>
        <v/>
      </c>
      <c r="AK323" s="102"/>
      <c r="AL323" s="102"/>
      <c r="AM323" s="105"/>
      <c r="AN323" s="105"/>
      <c r="AO323" s="105"/>
      <c r="AP323" s="109"/>
      <c r="AQ323" s="112"/>
      <c r="AR323" s="102"/>
      <c r="AS323" s="102"/>
      <c r="AT323" s="113"/>
      <c r="AU323" s="108"/>
      <c r="AV323" s="107"/>
      <c r="AW323" s="109"/>
      <c r="AX323" s="115">
        <f t="shared" si="11"/>
        <v>1900</v>
      </c>
      <c r="AY323" s="115">
        <f t="shared" si="12"/>
        <v>1900</v>
      </c>
    </row>
    <row r="324" spans="1:51" ht="22.5" customHeight="1">
      <c r="A324" s="102"/>
      <c r="B324" s="102"/>
      <c r="C324" s="102"/>
      <c r="D324" s="102"/>
      <c r="E324" s="102"/>
      <c r="F324" s="102"/>
      <c r="G324" s="102"/>
      <c r="H324" s="102"/>
      <c r="I324" s="102"/>
      <c r="J324" s="102"/>
      <c r="K324" s="104"/>
      <c r="L324" s="63" t="str">
        <f t="shared" ca="1" si="9"/>
        <v/>
      </c>
      <c r="M324" s="104"/>
      <c r="N324" s="105"/>
      <c r="O324" s="104"/>
      <c r="P324" s="102"/>
      <c r="Q324" s="111"/>
      <c r="R324" s="118"/>
      <c r="S324" s="107"/>
      <c r="T324" s="102"/>
      <c r="U324" s="102"/>
      <c r="V324" s="102"/>
      <c r="W324" s="105"/>
      <c r="X324" s="105"/>
      <c r="Y324" s="105"/>
      <c r="Z324" s="105"/>
      <c r="AA324" s="105"/>
      <c r="AB324" s="105"/>
      <c r="AC324" s="109"/>
      <c r="AD324" s="107"/>
      <c r="AE324" s="102"/>
      <c r="AF324" s="109"/>
      <c r="AG324" s="107"/>
      <c r="AH324" s="111"/>
      <c r="AI324" s="111"/>
      <c r="AJ324" s="131" t="str">
        <f t="shared" ca="1" si="10"/>
        <v/>
      </c>
      <c r="AK324" s="102"/>
      <c r="AL324" s="102"/>
      <c r="AM324" s="105"/>
      <c r="AN324" s="105"/>
      <c r="AO324" s="105"/>
      <c r="AP324" s="109"/>
      <c r="AQ324" s="112"/>
      <c r="AR324" s="102"/>
      <c r="AS324" s="102"/>
      <c r="AT324" s="113"/>
      <c r="AU324" s="108"/>
      <c r="AV324" s="107"/>
      <c r="AW324" s="109"/>
      <c r="AX324" s="115">
        <f t="shared" si="11"/>
        <v>1900</v>
      </c>
      <c r="AY324" s="115">
        <f t="shared" si="12"/>
        <v>1900</v>
      </c>
    </row>
    <row r="325" spans="1:51" ht="22.5" customHeight="1">
      <c r="A325" s="102"/>
      <c r="B325" s="102"/>
      <c r="C325" s="102"/>
      <c r="D325" s="102"/>
      <c r="E325" s="102"/>
      <c r="F325" s="102"/>
      <c r="G325" s="102"/>
      <c r="H325" s="102"/>
      <c r="I325" s="102"/>
      <c r="J325" s="102"/>
      <c r="K325" s="104"/>
      <c r="L325" s="63" t="str">
        <f t="shared" ca="1" si="9"/>
        <v/>
      </c>
      <c r="M325" s="104"/>
      <c r="N325" s="105"/>
      <c r="O325" s="104"/>
      <c r="P325" s="102"/>
      <c r="Q325" s="111"/>
      <c r="R325" s="118"/>
      <c r="S325" s="107"/>
      <c r="T325" s="102"/>
      <c r="U325" s="102"/>
      <c r="V325" s="102"/>
      <c r="W325" s="105"/>
      <c r="X325" s="105"/>
      <c r="Y325" s="105"/>
      <c r="Z325" s="105"/>
      <c r="AA325" s="105"/>
      <c r="AB325" s="105"/>
      <c r="AC325" s="109"/>
      <c r="AD325" s="107"/>
      <c r="AE325" s="102"/>
      <c r="AF325" s="109"/>
      <c r="AG325" s="107"/>
      <c r="AH325" s="111"/>
      <c r="AI325" s="111"/>
      <c r="AJ325" s="131" t="str">
        <f t="shared" ca="1" si="10"/>
        <v/>
      </c>
      <c r="AK325" s="102"/>
      <c r="AL325" s="102"/>
      <c r="AM325" s="105"/>
      <c r="AN325" s="105"/>
      <c r="AO325" s="105"/>
      <c r="AP325" s="109"/>
      <c r="AQ325" s="112"/>
      <c r="AR325" s="102"/>
      <c r="AS325" s="102"/>
      <c r="AT325" s="113"/>
      <c r="AU325" s="108"/>
      <c r="AV325" s="107"/>
      <c r="AW325" s="109"/>
      <c r="AX325" s="115">
        <f t="shared" si="11"/>
        <v>1900</v>
      </c>
      <c r="AY325" s="115">
        <f t="shared" si="12"/>
        <v>1900</v>
      </c>
    </row>
    <row r="326" spans="1:51" ht="22.5" customHeight="1">
      <c r="A326" s="102"/>
      <c r="B326" s="102"/>
      <c r="C326" s="102"/>
      <c r="D326" s="102"/>
      <c r="E326" s="102"/>
      <c r="F326" s="102"/>
      <c r="G326" s="102"/>
      <c r="H326" s="102"/>
      <c r="I326" s="102"/>
      <c r="J326" s="102"/>
      <c r="K326" s="104"/>
      <c r="L326" s="63" t="str">
        <f t="shared" ca="1" si="9"/>
        <v/>
      </c>
      <c r="M326" s="104"/>
      <c r="N326" s="105"/>
      <c r="O326" s="104"/>
      <c r="P326" s="102"/>
      <c r="Q326" s="111"/>
      <c r="R326" s="118"/>
      <c r="S326" s="107"/>
      <c r="T326" s="102"/>
      <c r="U326" s="102"/>
      <c r="V326" s="102"/>
      <c r="W326" s="105"/>
      <c r="X326" s="105"/>
      <c r="Y326" s="105"/>
      <c r="Z326" s="105"/>
      <c r="AA326" s="105"/>
      <c r="AB326" s="105"/>
      <c r="AC326" s="109"/>
      <c r="AD326" s="107"/>
      <c r="AE326" s="102"/>
      <c r="AF326" s="109"/>
      <c r="AG326" s="107"/>
      <c r="AH326" s="111"/>
      <c r="AI326" s="111"/>
      <c r="AJ326" s="131" t="str">
        <f t="shared" ca="1" si="10"/>
        <v/>
      </c>
      <c r="AK326" s="102"/>
      <c r="AL326" s="102"/>
      <c r="AM326" s="105"/>
      <c r="AN326" s="105"/>
      <c r="AO326" s="105"/>
      <c r="AP326" s="109"/>
      <c r="AQ326" s="112"/>
      <c r="AR326" s="102"/>
      <c r="AS326" s="102"/>
      <c r="AT326" s="113"/>
      <c r="AU326" s="108"/>
      <c r="AV326" s="107"/>
      <c r="AW326" s="109"/>
      <c r="AX326" s="115">
        <f t="shared" si="11"/>
        <v>1900</v>
      </c>
      <c r="AY326" s="115">
        <f t="shared" si="12"/>
        <v>1900</v>
      </c>
    </row>
    <row r="327" spans="1:51" ht="22.5" customHeight="1">
      <c r="A327" s="102"/>
      <c r="B327" s="102"/>
      <c r="C327" s="102"/>
      <c r="D327" s="102"/>
      <c r="E327" s="102"/>
      <c r="F327" s="102"/>
      <c r="G327" s="102"/>
      <c r="H327" s="102"/>
      <c r="I327" s="102"/>
      <c r="J327" s="102"/>
      <c r="K327" s="104"/>
      <c r="L327" s="63" t="str">
        <f t="shared" ca="1" si="9"/>
        <v/>
      </c>
      <c r="M327" s="104"/>
      <c r="N327" s="105"/>
      <c r="O327" s="104"/>
      <c r="P327" s="102"/>
      <c r="Q327" s="111"/>
      <c r="R327" s="118"/>
      <c r="S327" s="107"/>
      <c r="T327" s="102"/>
      <c r="U327" s="102"/>
      <c r="V327" s="102"/>
      <c r="W327" s="105"/>
      <c r="X327" s="105"/>
      <c r="Y327" s="105"/>
      <c r="Z327" s="105"/>
      <c r="AA327" s="105"/>
      <c r="AB327" s="105"/>
      <c r="AC327" s="109"/>
      <c r="AD327" s="107"/>
      <c r="AE327" s="102"/>
      <c r="AF327" s="109"/>
      <c r="AG327" s="107"/>
      <c r="AH327" s="111"/>
      <c r="AI327" s="111"/>
      <c r="AJ327" s="131" t="str">
        <f t="shared" ca="1" si="10"/>
        <v/>
      </c>
      <c r="AK327" s="102"/>
      <c r="AL327" s="102"/>
      <c r="AM327" s="105"/>
      <c r="AN327" s="105"/>
      <c r="AO327" s="105"/>
      <c r="AP327" s="109"/>
      <c r="AQ327" s="112"/>
      <c r="AR327" s="102"/>
      <c r="AS327" s="102"/>
      <c r="AT327" s="113"/>
      <c r="AU327" s="108"/>
      <c r="AV327" s="107"/>
      <c r="AW327" s="109"/>
      <c r="AX327" s="115">
        <f t="shared" si="11"/>
        <v>1900</v>
      </c>
      <c r="AY327" s="115">
        <f t="shared" si="12"/>
        <v>1900</v>
      </c>
    </row>
    <row r="328" spans="1:51" ht="22.5" customHeight="1">
      <c r="A328" s="102"/>
      <c r="B328" s="102"/>
      <c r="C328" s="102"/>
      <c r="D328" s="102"/>
      <c r="E328" s="102"/>
      <c r="F328" s="102"/>
      <c r="G328" s="102"/>
      <c r="H328" s="102"/>
      <c r="I328" s="102"/>
      <c r="J328" s="102"/>
      <c r="K328" s="104"/>
      <c r="L328" s="63" t="str">
        <f t="shared" ca="1" si="9"/>
        <v/>
      </c>
      <c r="M328" s="104"/>
      <c r="N328" s="105"/>
      <c r="O328" s="104"/>
      <c r="P328" s="102"/>
      <c r="Q328" s="111"/>
      <c r="R328" s="118"/>
      <c r="S328" s="107"/>
      <c r="T328" s="102"/>
      <c r="U328" s="102"/>
      <c r="V328" s="102"/>
      <c r="W328" s="105"/>
      <c r="X328" s="105"/>
      <c r="Y328" s="105"/>
      <c r="Z328" s="105"/>
      <c r="AA328" s="105"/>
      <c r="AB328" s="105"/>
      <c r="AC328" s="109"/>
      <c r="AD328" s="107"/>
      <c r="AE328" s="102"/>
      <c r="AF328" s="109"/>
      <c r="AG328" s="107"/>
      <c r="AH328" s="111"/>
      <c r="AI328" s="111"/>
      <c r="AJ328" s="131" t="str">
        <f t="shared" ca="1" si="10"/>
        <v/>
      </c>
      <c r="AK328" s="102"/>
      <c r="AL328" s="102"/>
      <c r="AM328" s="105"/>
      <c r="AN328" s="105"/>
      <c r="AO328" s="105"/>
      <c r="AP328" s="109"/>
      <c r="AQ328" s="112"/>
      <c r="AR328" s="102"/>
      <c r="AS328" s="102"/>
      <c r="AT328" s="113"/>
      <c r="AU328" s="108"/>
      <c r="AV328" s="107"/>
      <c r="AW328" s="109"/>
      <c r="AX328" s="115">
        <f t="shared" si="11"/>
        <v>1900</v>
      </c>
      <c r="AY328" s="115">
        <f t="shared" si="12"/>
        <v>1900</v>
      </c>
    </row>
    <row r="329" spans="1:51" ht="22.5" customHeight="1">
      <c r="A329" s="102"/>
      <c r="B329" s="102"/>
      <c r="C329" s="102"/>
      <c r="D329" s="102"/>
      <c r="E329" s="102"/>
      <c r="F329" s="102"/>
      <c r="G329" s="102"/>
      <c r="H329" s="102"/>
      <c r="I329" s="102"/>
      <c r="J329" s="102"/>
      <c r="K329" s="104"/>
      <c r="L329" s="63" t="str">
        <f t="shared" ca="1" si="9"/>
        <v/>
      </c>
      <c r="M329" s="104"/>
      <c r="N329" s="105"/>
      <c r="O329" s="104"/>
      <c r="P329" s="102"/>
      <c r="Q329" s="111"/>
      <c r="R329" s="118"/>
      <c r="S329" s="107"/>
      <c r="T329" s="102"/>
      <c r="U329" s="102"/>
      <c r="V329" s="102"/>
      <c r="W329" s="105"/>
      <c r="X329" s="105"/>
      <c r="Y329" s="105"/>
      <c r="Z329" s="105"/>
      <c r="AA329" s="105"/>
      <c r="AB329" s="105"/>
      <c r="AC329" s="109"/>
      <c r="AD329" s="107"/>
      <c r="AE329" s="102"/>
      <c r="AF329" s="109"/>
      <c r="AG329" s="107"/>
      <c r="AH329" s="111"/>
      <c r="AI329" s="111"/>
      <c r="AJ329" s="131" t="str">
        <f t="shared" ca="1" si="10"/>
        <v/>
      </c>
      <c r="AK329" s="102"/>
      <c r="AL329" s="102"/>
      <c r="AM329" s="105"/>
      <c r="AN329" s="105"/>
      <c r="AO329" s="105"/>
      <c r="AP329" s="109"/>
      <c r="AQ329" s="112"/>
      <c r="AR329" s="102"/>
      <c r="AS329" s="102"/>
      <c r="AT329" s="113"/>
      <c r="AU329" s="108"/>
      <c r="AV329" s="107"/>
      <c r="AW329" s="109"/>
      <c r="AX329" s="115">
        <f t="shared" si="11"/>
        <v>1900</v>
      </c>
      <c r="AY329" s="115">
        <f t="shared" si="12"/>
        <v>1900</v>
      </c>
    </row>
    <row r="330" spans="1:51" ht="22.5" customHeight="1">
      <c r="A330" s="102"/>
      <c r="B330" s="102"/>
      <c r="C330" s="102"/>
      <c r="D330" s="102"/>
      <c r="E330" s="102"/>
      <c r="F330" s="102"/>
      <c r="G330" s="102"/>
      <c r="H330" s="102"/>
      <c r="I330" s="102"/>
      <c r="J330" s="102"/>
      <c r="K330" s="104"/>
      <c r="L330" s="63" t="str">
        <f t="shared" ca="1" si="9"/>
        <v/>
      </c>
      <c r="M330" s="104"/>
      <c r="N330" s="105"/>
      <c r="O330" s="104"/>
      <c r="P330" s="102"/>
      <c r="Q330" s="111"/>
      <c r="R330" s="118"/>
      <c r="S330" s="107"/>
      <c r="T330" s="102"/>
      <c r="U330" s="102"/>
      <c r="V330" s="102"/>
      <c r="W330" s="105"/>
      <c r="X330" s="105"/>
      <c r="Y330" s="105"/>
      <c r="Z330" s="105"/>
      <c r="AA330" s="105"/>
      <c r="AB330" s="105"/>
      <c r="AC330" s="109"/>
      <c r="AD330" s="107"/>
      <c r="AE330" s="102"/>
      <c r="AF330" s="109"/>
      <c r="AG330" s="107"/>
      <c r="AH330" s="111"/>
      <c r="AI330" s="111"/>
      <c r="AJ330" s="131" t="str">
        <f t="shared" ca="1" si="10"/>
        <v/>
      </c>
      <c r="AK330" s="102"/>
      <c r="AL330" s="102"/>
      <c r="AM330" s="105"/>
      <c r="AN330" s="105"/>
      <c r="AO330" s="105"/>
      <c r="AP330" s="109"/>
      <c r="AQ330" s="112"/>
      <c r="AR330" s="102"/>
      <c r="AS330" s="102"/>
      <c r="AT330" s="113"/>
      <c r="AU330" s="108"/>
      <c r="AV330" s="107"/>
      <c r="AW330" s="109"/>
      <c r="AX330" s="115">
        <f t="shared" si="11"/>
        <v>1900</v>
      </c>
      <c r="AY330" s="115">
        <f t="shared" si="12"/>
        <v>1900</v>
      </c>
    </row>
    <row r="331" spans="1:51" ht="22.5" customHeight="1">
      <c r="A331" s="102"/>
      <c r="B331" s="102"/>
      <c r="C331" s="102"/>
      <c r="D331" s="102"/>
      <c r="E331" s="102"/>
      <c r="F331" s="102"/>
      <c r="G331" s="102"/>
      <c r="H331" s="102"/>
      <c r="I331" s="102"/>
      <c r="J331" s="102"/>
      <c r="K331" s="104"/>
      <c r="L331" s="63" t="str">
        <f t="shared" ca="1" si="9"/>
        <v/>
      </c>
      <c r="M331" s="104"/>
      <c r="N331" s="105"/>
      <c r="O331" s="104"/>
      <c r="P331" s="102"/>
      <c r="Q331" s="111"/>
      <c r="R331" s="118"/>
      <c r="S331" s="107"/>
      <c r="T331" s="102"/>
      <c r="U331" s="102"/>
      <c r="V331" s="102"/>
      <c r="W331" s="105"/>
      <c r="X331" s="105"/>
      <c r="Y331" s="105"/>
      <c r="Z331" s="105"/>
      <c r="AA331" s="105"/>
      <c r="AB331" s="105"/>
      <c r="AC331" s="109"/>
      <c r="AD331" s="107"/>
      <c r="AE331" s="102"/>
      <c r="AF331" s="109"/>
      <c r="AG331" s="107"/>
      <c r="AH331" s="111"/>
      <c r="AI331" s="111"/>
      <c r="AJ331" s="131" t="str">
        <f t="shared" ca="1" si="10"/>
        <v/>
      </c>
      <c r="AK331" s="102"/>
      <c r="AL331" s="102"/>
      <c r="AM331" s="105"/>
      <c r="AN331" s="105"/>
      <c r="AO331" s="105"/>
      <c r="AP331" s="109"/>
      <c r="AQ331" s="112"/>
      <c r="AR331" s="102"/>
      <c r="AS331" s="102"/>
      <c r="AT331" s="113"/>
      <c r="AU331" s="108"/>
      <c r="AV331" s="107"/>
      <c r="AW331" s="109"/>
      <c r="AX331" s="115">
        <f t="shared" si="11"/>
        <v>1900</v>
      </c>
      <c r="AY331" s="115">
        <f t="shared" si="12"/>
        <v>1900</v>
      </c>
    </row>
    <row r="332" spans="1:51" ht="22.5" customHeight="1">
      <c r="A332" s="102"/>
      <c r="B332" s="102"/>
      <c r="C332" s="102"/>
      <c r="D332" s="102"/>
      <c r="E332" s="102"/>
      <c r="F332" s="102"/>
      <c r="G332" s="102"/>
      <c r="H332" s="102"/>
      <c r="I332" s="102"/>
      <c r="J332" s="102"/>
      <c r="K332" s="104"/>
      <c r="L332" s="63" t="str">
        <f t="shared" ca="1" si="9"/>
        <v/>
      </c>
      <c r="M332" s="104"/>
      <c r="N332" s="105"/>
      <c r="O332" s="104"/>
      <c r="P332" s="102"/>
      <c r="Q332" s="111"/>
      <c r="R332" s="118"/>
      <c r="S332" s="107"/>
      <c r="T332" s="102"/>
      <c r="U332" s="102"/>
      <c r="V332" s="102"/>
      <c r="W332" s="105"/>
      <c r="X332" s="105"/>
      <c r="Y332" s="105"/>
      <c r="Z332" s="105"/>
      <c r="AA332" s="105"/>
      <c r="AB332" s="105"/>
      <c r="AC332" s="109"/>
      <c r="AD332" s="107"/>
      <c r="AE332" s="102"/>
      <c r="AF332" s="109"/>
      <c r="AG332" s="107"/>
      <c r="AH332" s="111"/>
      <c r="AI332" s="111"/>
      <c r="AJ332" s="131" t="str">
        <f t="shared" ca="1" si="10"/>
        <v/>
      </c>
      <c r="AK332" s="102"/>
      <c r="AL332" s="102"/>
      <c r="AM332" s="105"/>
      <c r="AN332" s="105"/>
      <c r="AO332" s="105"/>
      <c r="AP332" s="109"/>
      <c r="AQ332" s="112"/>
      <c r="AR332" s="102"/>
      <c r="AS332" s="102"/>
      <c r="AT332" s="113"/>
      <c r="AU332" s="108"/>
      <c r="AV332" s="107"/>
      <c r="AW332" s="109"/>
      <c r="AX332" s="115">
        <f t="shared" si="11"/>
        <v>1900</v>
      </c>
      <c r="AY332" s="115">
        <f t="shared" si="12"/>
        <v>1900</v>
      </c>
    </row>
    <row r="333" spans="1:51" ht="22.5" customHeight="1">
      <c r="A333" s="102"/>
      <c r="B333" s="102"/>
      <c r="C333" s="102"/>
      <c r="D333" s="102"/>
      <c r="E333" s="102"/>
      <c r="F333" s="102"/>
      <c r="G333" s="102"/>
      <c r="H333" s="102"/>
      <c r="I333" s="102"/>
      <c r="J333" s="102"/>
      <c r="K333" s="104"/>
      <c r="L333" s="63" t="str">
        <f t="shared" ca="1" si="9"/>
        <v/>
      </c>
      <c r="M333" s="104"/>
      <c r="N333" s="105"/>
      <c r="O333" s="104"/>
      <c r="P333" s="102"/>
      <c r="Q333" s="111"/>
      <c r="R333" s="118"/>
      <c r="S333" s="107"/>
      <c r="T333" s="102"/>
      <c r="U333" s="102"/>
      <c r="V333" s="102"/>
      <c r="W333" s="105"/>
      <c r="X333" s="105"/>
      <c r="Y333" s="105"/>
      <c r="Z333" s="105"/>
      <c r="AA333" s="105"/>
      <c r="AB333" s="105"/>
      <c r="AC333" s="109"/>
      <c r="AD333" s="107"/>
      <c r="AE333" s="102"/>
      <c r="AF333" s="109"/>
      <c r="AG333" s="107"/>
      <c r="AH333" s="111"/>
      <c r="AI333" s="111"/>
      <c r="AJ333" s="131" t="str">
        <f t="shared" ca="1" si="10"/>
        <v/>
      </c>
      <c r="AK333" s="102"/>
      <c r="AL333" s="102"/>
      <c r="AM333" s="105"/>
      <c r="AN333" s="105"/>
      <c r="AO333" s="105"/>
      <c r="AP333" s="109"/>
      <c r="AQ333" s="112"/>
      <c r="AR333" s="102"/>
      <c r="AS333" s="102"/>
      <c r="AT333" s="113"/>
      <c r="AU333" s="108"/>
      <c r="AV333" s="107"/>
      <c r="AW333" s="109"/>
      <c r="AX333" s="115">
        <f t="shared" si="11"/>
        <v>1900</v>
      </c>
      <c r="AY333" s="115">
        <f t="shared" si="12"/>
        <v>1900</v>
      </c>
    </row>
    <row r="334" spans="1:51" ht="22.5" customHeight="1">
      <c r="A334" s="102"/>
      <c r="B334" s="102"/>
      <c r="C334" s="102"/>
      <c r="D334" s="102"/>
      <c r="E334" s="102"/>
      <c r="F334" s="102"/>
      <c r="G334" s="102"/>
      <c r="H334" s="102"/>
      <c r="I334" s="102"/>
      <c r="J334" s="102"/>
      <c r="K334" s="104"/>
      <c r="L334" s="63" t="str">
        <f t="shared" ca="1" si="9"/>
        <v/>
      </c>
      <c r="M334" s="104"/>
      <c r="N334" s="105"/>
      <c r="O334" s="104"/>
      <c r="P334" s="102"/>
      <c r="Q334" s="111"/>
      <c r="R334" s="118"/>
      <c r="S334" s="107"/>
      <c r="T334" s="102"/>
      <c r="U334" s="102"/>
      <c r="V334" s="102"/>
      <c r="W334" s="105"/>
      <c r="X334" s="105"/>
      <c r="Y334" s="105"/>
      <c r="Z334" s="105"/>
      <c r="AA334" s="105"/>
      <c r="AB334" s="105"/>
      <c r="AC334" s="109"/>
      <c r="AD334" s="107"/>
      <c r="AE334" s="102"/>
      <c r="AF334" s="109"/>
      <c r="AG334" s="107"/>
      <c r="AH334" s="111"/>
      <c r="AI334" s="111"/>
      <c r="AJ334" s="131" t="str">
        <f t="shared" ca="1" si="10"/>
        <v/>
      </c>
      <c r="AK334" s="102"/>
      <c r="AL334" s="102"/>
      <c r="AM334" s="105"/>
      <c r="AN334" s="105"/>
      <c r="AO334" s="105"/>
      <c r="AP334" s="109"/>
      <c r="AQ334" s="112"/>
      <c r="AR334" s="102"/>
      <c r="AS334" s="102"/>
      <c r="AT334" s="113"/>
      <c r="AU334" s="108"/>
      <c r="AV334" s="107"/>
      <c r="AW334" s="109"/>
      <c r="AX334" s="115">
        <f t="shared" si="11"/>
        <v>1900</v>
      </c>
      <c r="AY334" s="115">
        <f t="shared" si="12"/>
        <v>1900</v>
      </c>
    </row>
    <row r="335" spans="1:51" ht="22.5" customHeight="1">
      <c r="A335" s="102"/>
      <c r="B335" s="102"/>
      <c r="C335" s="102"/>
      <c r="D335" s="102"/>
      <c r="E335" s="102"/>
      <c r="F335" s="102"/>
      <c r="G335" s="102"/>
      <c r="H335" s="102"/>
      <c r="I335" s="102"/>
      <c r="J335" s="102"/>
      <c r="K335" s="104"/>
      <c r="L335" s="63" t="str">
        <f t="shared" ca="1" si="9"/>
        <v/>
      </c>
      <c r="M335" s="104"/>
      <c r="N335" s="105"/>
      <c r="O335" s="104"/>
      <c r="P335" s="102"/>
      <c r="Q335" s="111"/>
      <c r="R335" s="118"/>
      <c r="S335" s="107"/>
      <c r="T335" s="102"/>
      <c r="U335" s="102"/>
      <c r="V335" s="102"/>
      <c r="W335" s="105"/>
      <c r="X335" s="105"/>
      <c r="Y335" s="105"/>
      <c r="Z335" s="105"/>
      <c r="AA335" s="105"/>
      <c r="AB335" s="105"/>
      <c r="AC335" s="109"/>
      <c r="AD335" s="107"/>
      <c r="AE335" s="102"/>
      <c r="AF335" s="109"/>
      <c r="AG335" s="107"/>
      <c r="AH335" s="111"/>
      <c r="AI335" s="111"/>
      <c r="AJ335" s="131" t="str">
        <f t="shared" ca="1" si="10"/>
        <v/>
      </c>
      <c r="AK335" s="102"/>
      <c r="AL335" s="102"/>
      <c r="AM335" s="105"/>
      <c r="AN335" s="105"/>
      <c r="AO335" s="105"/>
      <c r="AP335" s="109"/>
      <c r="AQ335" s="112"/>
      <c r="AR335" s="102"/>
      <c r="AS335" s="102"/>
      <c r="AT335" s="113"/>
      <c r="AU335" s="108"/>
      <c r="AV335" s="107"/>
      <c r="AW335" s="109"/>
      <c r="AX335" s="115">
        <f t="shared" si="11"/>
        <v>1900</v>
      </c>
      <c r="AY335" s="115">
        <f t="shared" si="12"/>
        <v>1900</v>
      </c>
    </row>
    <row r="336" spans="1:51" ht="22.5" customHeight="1">
      <c r="A336" s="102"/>
      <c r="B336" s="102"/>
      <c r="C336" s="102"/>
      <c r="D336" s="102"/>
      <c r="E336" s="102"/>
      <c r="F336" s="102"/>
      <c r="G336" s="102"/>
      <c r="H336" s="102"/>
      <c r="I336" s="102"/>
      <c r="J336" s="102"/>
      <c r="K336" s="104"/>
      <c r="L336" s="63" t="str">
        <f t="shared" ca="1" si="9"/>
        <v/>
      </c>
      <c r="M336" s="104"/>
      <c r="N336" s="105"/>
      <c r="O336" s="104"/>
      <c r="P336" s="102"/>
      <c r="Q336" s="111"/>
      <c r="R336" s="118"/>
      <c r="S336" s="107"/>
      <c r="T336" s="102"/>
      <c r="U336" s="102"/>
      <c r="V336" s="102"/>
      <c r="W336" s="105"/>
      <c r="X336" s="105"/>
      <c r="Y336" s="105"/>
      <c r="Z336" s="105"/>
      <c r="AA336" s="105"/>
      <c r="AB336" s="105"/>
      <c r="AC336" s="109"/>
      <c r="AD336" s="107"/>
      <c r="AE336" s="102"/>
      <c r="AF336" s="109"/>
      <c r="AG336" s="107"/>
      <c r="AH336" s="111"/>
      <c r="AI336" s="111"/>
      <c r="AJ336" s="131" t="str">
        <f t="shared" ca="1" si="10"/>
        <v/>
      </c>
      <c r="AK336" s="102"/>
      <c r="AL336" s="102"/>
      <c r="AM336" s="105"/>
      <c r="AN336" s="105"/>
      <c r="AO336" s="105"/>
      <c r="AP336" s="109"/>
      <c r="AQ336" s="112"/>
      <c r="AR336" s="102"/>
      <c r="AS336" s="102"/>
      <c r="AT336" s="113"/>
      <c r="AU336" s="108"/>
      <c r="AV336" s="107"/>
      <c r="AW336" s="109"/>
      <c r="AX336" s="115">
        <f t="shared" si="11"/>
        <v>1900</v>
      </c>
      <c r="AY336" s="115">
        <f t="shared" si="12"/>
        <v>1900</v>
      </c>
    </row>
    <row r="337" spans="1:51" ht="22.5" customHeight="1">
      <c r="A337" s="102"/>
      <c r="B337" s="102"/>
      <c r="C337" s="102"/>
      <c r="D337" s="102"/>
      <c r="E337" s="102"/>
      <c r="F337" s="102"/>
      <c r="G337" s="102"/>
      <c r="H337" s="102"/>
      <c r="I337" s="102"/>
      <c r="J337" s="102"/>
      <c r="K337" s="104"/>
      <c r="L337" s="63" t="str">
        <f t="shared" ca="1" si="9"/>
        <v/>
      </c>
      <c r="M337" s="104"/>
      <c r="N337" s="105"/>
      <c r="O337" s="104"/>
      <c r="P337" s="102"/>
      <c r="Q337" s="111"/>
      <c r="R337" s="118"/>
      <c r="S337" s="107"/>
      <c r="T337" s="102"/>
      <c r="U337" s="102"/>
      <c r="V337" s="102"/>
      <c r="W337" s="105"/>
      <c r="X337" s="105"/>
      <c r="Y337" s="105"/>
      <c r="Z337" s="105"/>
      <c r="AA337" s="105"/>
      <c r="AB337" s="105"/>
      <c r="AC337" s="109"/>
      <c r="AD337" s="107"/>
      <c r="AE337" s="102"/>
      <c r="AF337" s="109"/>
      <c r="AG337" s="107"/>
      <c r="AH337" s="111"/>
      <c r="AI337" s="111"/>
      <c r="AJ337" s="131" t="str">
        <f t="shared" ca="1" si="10"/>
        <v/>
      </c>
      <c r="AK337" s="102"/>
      <c r="AL337" s="102"/>
      <c r="AM337" s="105"/>
      <c r="AN337" s="105"/>
      <c r="AO337" s="105"/>
      <c r="AP337" s="109"/>
      <c r="AQ337" s="112"/>
      <c r="AR337" s="102"/>
      <c r="AS337" s="102"/>
      <c r="AT337" s="113"/>
      <c r="AU337" s="108"/>
      <c r="AV337" s="107"/>
      <c r="AW337" s="109"/>
      <c r="AX337" s="115">
        <f t="shared" si="11"/>
        <v>1900</v>
      </c>
      <c r="AY337" s="115">
        <f t="shared" si="12"/>
        <v>1900</v>
      </c>
    </row>
    <row r="338" spans="1:51" ht="22.5" customHeight="1">
      <c r="A338" s="102"/>
      <c r="B338" s="102"/>
      <c r="C338" s="102"/>
      <c r="D338" s="102"/>
      <c r="E338" s="102"/>
      <c r="F338" s="102"/>
      <c r="G338" s="102"/>
      <c r="H338" s="102"/>
      <c r="I338" s="102"/>
      <c r="J338" s="102"/>
      <c r="K338" s="104"/>
      <c r="L338" s="63" t="str">
        <f t="shared" ca="1" si="9"/>
        <v/>
      </c>
      <c r="M338" s="104"/>
      <c r="N338" s="105"/>
      <c r="O338" s="104"/>
      <c r="P338" s="102"/>
      <c r="Q338" s="111"/>
      <c r="R338" s="118"/>
      <c r="S338" s="107"/>
      <c r="T338" s="102"/>
      <c r="U338" s="102"/>
      <c r="V338" s="102"/>
      <c r="W338" s="105"/>
      <c r="X338" s="105"/>
      <c r="Y338" s="105"/>
      <c r="Z338" s="105"/>
      <c r="AA338" s="105"/>
      <c r="AB338" s="105"/>
      <c r="AC338" s="109"/>
      <c r="AD338" s="107"/>
      <c r="AE338" s="102"/>
      <c r="AF338" s="109"/>
      <c r="AG338" s="107"/>
      <c r="AH338" s="111"/>
      <c r="AI338" s="111"/>
      <c r="AJ338" s="131" t="str">
        <f t="shared" ca="1" si="10"/>
        <v/>
      </c>
      <c r="AK338" s="102"/>
      <c r="AL338" s="102"/>
      <c r="AM338" s="105"/>
      <c r="AN338" s="105"/>
      <c r="AO338" s="105"/>
      <c r="AP338" s="109"/>
      <c r="AQ338" s="112"/>
      <c r="AR338" s="102"/>
      <c r="AS338" s="102"/>
      <c r="AT338" s="113"/>
      <c r="AU338" s="108"/>
      <c r="AV338" s="107"/>
      <c r="AW338" s="109"/>
      <c r="AX338" s="115">
        <f t="shared" si="11"/>
        <v>1900</v>
      </c>
      <c r="AY338" s="115">
        <f t="shared" si="12"/>
        <v>1900</v>
      </c>
    </row>
    <row r="339" spans="1:51" ht="22.5" customHeight="1">
      <c r="A339" s="102"/>
      <c r="B339" s="102"/>
      <c r="C339" s="102"/>
      <c r="D339" s="102"/>
      <c r="E339" s="102"/>
      <c r="F339" s="102"/>
      <c r="G339" s="102"/>
      <c r="H339" s="102"/>
      <c r="I339" s="102"/>
      <c r="J339" s="102"/>
      <c r="K339" s="104"/>
      <c r="L339" s="63" t="str">
        <f t="shared" ca="1" si="9"/>
        <v/>
      </c>
      <c r="M339" s="104"/>
      <c r="N339" s="105"/>
      <c r="O339" s="104"/>
      <c r="P339" s="102"/>
      <c r="Q339" s="111"/>
      <c r="R339" s="118"/>
      <c r="S339" s="107"/>
      <c r="T339" s="102"/>
      <c r="U339" s="102"/>
      <c r="V339" s="102"/>
      <c r="W339" s="105"/>
      <c r="X339" s="105"/>
      <c r="Y339" s="105"/>
      <c r="Z339" s="105"/>
      <c r="AA339" s="105"/>
      <c r="AB339" s="105"/>
      <c r="AC339" s="109"/>
      <c r="AD339" s="107"/>
      <c r="AE339" s="102"/>
      <c r="AF339" s="109"/>
      <c r="AG339" s="107"/>
      <c r="AH339" s="111"/>
      <c r="AI339" s="111"/>
      <c r="AJ339" s="131" t="str">
        <f t="shared" ca="1" si="10"/>
        <v/>
      </c>
      <c r="AK339" s="102"/>
      <c r="AL339" s="102"/>
      <c r="AM339" s="105"/>
      <c r="AN339" s="105"/>
      <c r="AO339" s="105"/>
      <c r="AP339" s="109"/>
      <c r="AQ339" s="112"/>
      <c r="AR339" s="102"/>
      <c r="AS339" s="102"/>
      <c r="AT339" s="113"/>
      <c r="AU339" s="108"/>
      <c r="AV339" s="107"/>
      <c r="AW339" s="109"/>
      <c r="AX339" s="115">
        <f t="shared" si="11"/>
        <v>1900</v>
      </c>
      <c r="AY339" s="115">
        <f t="shared" si="12"/>
        <v>1900</v>
      </c>
    </row>
    <row r="340" spans="1:51" ht="22.5" customHeight="1">
      <c r="A340" s="102"/>
      <c r="B340" s="102"/>
      <c r="C340" s="102"/>
      <c r="D340" s="102"/>
      <c r="E340" s="102"/>
      <c r="F340" s="102"/>
      <c r="G340" s="102"/>
      <c r="H340" s="102"/>
      <c r="I340" s="102"/>
      <c r="J340" s="102"/>
      <c r="K340" s="104"/>
      <c r="L340" s="63" t="str">
        <f t="shared" ca="1" si="9"/>
        <v/>
      </c>
      <c r="M340" s="104"/>
      <c r="N340" s="105"/>
      <c r="O340" s="104"/>
      <c r="P340" s="102"/>
      <c r="Q340" s="111"/>
      <c r="R340" s="118"/>
      <c r="S340" s="107"/>
      <c r="T340" s="102"/>
      <c r="U340" s="102"/>
      <c r="V340" s="102"/>
      <c r="W340" s="105"/>
      <c r="X340" s="105"/>
      <c r="Y340" s="105"/>
      <c r="Z340" s="105"/>
      <c r="AA340" s="105"/>
      <c r="AB340" s="105"/>
      <c r="AC340" s="109"/>
      <c r="AD340" s="107"/>
      <c r="AE340" s="102"/>
      <c r="AF340" s="109"/>
      <c r="AG340" s="107"/>
      <c r="AH340" s="111"/>
      <c r="AI340" s="111"/>
      <c r="AJ340" s="131" t="str">
        <f t="shared" ca="1" si="10"/>
        <v/>
      </c>
      <c r="AK340" s="102"/>
      <c r="AL340" s="102"/>
      <c r="AM340" s="105"/>
      <c r="AN340" s="105"/>
      <c r="AO340" s="105"/>
      <c r="AP340" s="109"/>
      <c r="AQ340" s="112"/>
      <c r="AR340" s="102"/>
      <c r="AS340" s="102"/>
      <c r="AT340" s="113"/>
      <c r="AU340" s="108"/>
      <c r="AV340" s="107"/>
      <c r="AW340" s="109"/>
      <c r="AX340" s="115">
        <f t="shared" si="11"/>
        <v>1900</v>
      </c>
      <c r="AY340" s="115">
        <f t="shared" si="12"/>
        <v>1900</v>
      </c>
    </row>
    <row r="341" spans="1:51" ht="22.5" customHeight="1">
      <c r="A341" s="102"/>
      <c r="B341" s="102"/>
      <c r="C341" s="102"/>
      <c r="D341" s="102"/>
      <c r="E341" s="102"/>
      <c r="F341" s="102"/>
      <c r="G341" s="102"/>
      <c r="H341" s="102"/>
      <c r="I341" s="102"/>
      <c r="J341" s="102"/>
      <c r="K341" s="104"/>
      <c r="L341" s="63" t="str">
        <f t="shared" ca="1" si="9"/>
        <v/>
      </c>
      <c r="M341" s="104"/>
      <c r="N341" s="105"/>
      <c r="O341" s="104"/>
      <c r="P341" s="102"/>
      <c r="Q341" s="111"/>
      <c r="R341" s="118"/>
      <c r="S341" s="107"/>
      <c r="T341" s="102"/>
      <c r="U341" s="102"/>
      <c r="V341" s="102"/>
      <c r="W341" s="105"/>
      <c r="X341" s="105"/>
      <c r="Y341" s="105"/>
      <c r="Z341" s="105"/>
      <c r="AA341" s="105"/>
      <c r="AB341" s="105"/>
      <c r="AC341" s="109"/>
      <c r="AD341" s="107"/>
      <c r="AE341" s="102"/>
      <c r="AF341" s="109"/>
      <c r="AG341" s="107"/>
      <c r="AH341" s="111"/>
      <c r="AI341" s="111"/>
      <c r="AJ341" s="131" t="str">
        <f t="shared" ca="1" si="10"/>
        <v/>
      </c>
      <c r="AK341" s="102"/>
      <c r="AL341" s="102"/>
      <c r="AM341" s="105"/>
      <c r="AN341" s="105"/>
      <c r="AO341" s="105"/>
      <c r="AP341" s="109"/>
      <c r="AQ341" s="112"/>
      <c r="AR341" s="102"/>
      <c r="AS341" s="102"/>
      <c r="AT341" s="113"/>
      <c r="AU341" s="108"/>
      <c r="AV341" s="107"/>
      <c r="AW341" s="109"/>
      <c r="AX341" s="115">
        <f t="shared" si="11"/>
        <v>1900</v>
      </c>
      <c r="AY341" s="115">
        <f t="shared" si="12"/>
        <v>1900</v>
      </c>
    </row>
    <row r="342" spans="1:51" ht="22.5" customHeight="1">
      <c r="A342" s="102"/>
      <c r="B342" s="102"/>
      <c r="C342" s="102"/>
      <c r="D342" s="102"/>
      <c r="E342" s="102"/>
      <c r="F342" s="102"/>
      <c r="G342" s="102"/>
      <c r="H342" s="102"/>
      <c r="I342" s="102"/>
      <c r="J342" s="102"/>
      <c r="K342" s="104"/>
      <c r="L342" s="63" t="str">
        <f t="shared" ca="1" si="9"/>
        <v/>
      </c>
      <c r="M342" s="104"/>
      <c r="N342" s="105"/>
      <c r="O342" s="104"/>
      <c r="P342" s="102"/>
      <c r="Q342" s="111"/>
      <c r="R342" s="118"/>
      <c r="S342" s="107"/>
      <c r="T342" s="102"/>
      <c r="U342" s="102"/>
      <c r="V342" s="102"/>
      <c r="W342" s="105"/>
      <c r="X342" s="105"/>
      <c r="Y342" s="105"/>
      <c r="Z342" s="105"/>
      <c r="AA342" s="105"/>
      <c r="AB342" s="105"/>
      <c r="AC342" s="109"/>
      <c r="AD342" s="107"/>
      <c r="AE342" s="102"/>
      <c r="AF342" s="109"/>
      <c r="AG342" s="107"/>
      <c r="AH342" s="111"/>
      <c r="AI342" s="111"/>
      <c r="AJ342" s="131" t="str">
        <f t="shared" ca="1" si="10"/>
        <v/>
      </c>
      <c r="AK342" s="102"/>
      <c r="AL342" s="102"/>
      <c r="AM342" s="105"/>
      <c r="AN342" s="105"/>
      <c r="AO342" s="105"/>
      <c r="AP342" s="109"/>
      <c r="AQ342" s="112"/>
      <c r="AR342" s="102"/>
      <c r="AS342" s="102"/>
      <c r="AT342" s="113"/>
      <c r="AU342" s="108"/>
      <c r="AV342" s="107"/>
      <c r="AW342" s="109"/>
      <c r="AX342" s="115">
        <f t="shared" si="11"/>
        <v>1900</v>
      </c>
      <c r="AY342" s="115">
        <f t="shared" si="12"/>
        <v>1900</v>
      </c>
    </row>
    <row r="343" spans="1:51" ht="22.5" customHeight="1">
      <c r="A343" s="102"/>
      <c r="B343" s="102"/>
      <c r="C343" s="102"/>
      <c r="D343" s="102"/>
      <c r="E343" s="102"/>
      <c r="F343" s="102"/>
      <c r="G343" s="102"/>
      <c r="H343" s="102"/>
      <c r="I343" s="102"/>
      <c r="J343" s="102"/>
      <c r="K343" s="104"/>
      <c r="L343" s="63" t="str">
        <f t="shared" ca="1" si="9"/>
        <v/>
      </c>
      <c r="M343" s="104"/>
      <c r="N343" s="105"/>
      <c r="O343" s="104"/>
      <c r="P343" s="102"/>
      <c r="Q343" s="111"/>
      <c r="R343" s="118"/>
      <c r="S343" s="107"/>
      <c r="T343" s="102"/>
      <c r="U343" s="102"/>
      <c r="V343" s="102"/>
      <c r="W343" s="105"/>
      <c r="X343" s="105"/>
      <c r="Y343" s="105"/>
      <c r="Z343" s="105"/>
      <c r="AA343" s="105"/>
      <c r="AB343" s="105"/>
      <c r="AC343" s="109"/>
      <c r="AD343" s="107"/>
      <c r="AE343" s="102"/>
      <c r="AF343" s="109"/>
      <c r="AG343" s="107"/>
      <c r="AH343" s="111"/>
      <c r="AI343" s="111"/>
      <c r="AJ343" s="131" t="str">
        <f t="shared" ca="1" si="10"/>
        <v/>
      </c>
      <c r="AK343" s="102"/>
      <c r="AL343" s="102"/>
      <c r="AM343" s="105"/>
      <c r="AN343" s="105"/>
      <c r="AO343" s="105"/>
      <c r="AP343" s="109"/>
      <c r="AQ343" s="112"/>
      <c r="AR343" s="102"/>
      <c r="AS343" s="102"/>
      <c r="AT343" s="113"/>
      <c r="AU343" s="108"/>
      <c r="AV343" s="107"/>
      <c r="AW343" s="109"/>
      <c r="AX343" s="115">
        <f t="shared" si="11"/>
        <v>1900</v>
      </c>
      <c r="AY343" s="115">
        <f t="shared" si="12"/>
        <v>1900</v>
      </c>
    </row>
    <row r="344" spans="1:51" ht="22.5" customHeight="1">
      <c r="A344" s="102"/>
      <c r="B344" s="102"/>
      <c r="C344" s="102"/>
      <c r="D344" s="102"/>
      <c r="E344" s="102"/>
      <c r="F344" s="102"/>
      <c r="G344" s="102"/>
      <c r="H344" s="102"/>
      <c r="I344" s="102"/>
      <c r="J344" s="102"/>
      <c r="K344" s="104"/>
      <c r="L344" s="63" t="str">
        <f t="shared" ca="1" si="9"/>
        <v/>
      </c>
      <c r="M344" s="104"/>
      <c r="N344" s="105"/>
      <c r="O344" s="104"/>
      <c r="P344" s="102"/>
      <c r="Q344" s="111"/>
      <c r="R344" s="118"/>
      <c r="S344" s="107"/>
      <c r="T344" s="102"/>
      <c r="U344" s="102"/>
      <c r="V344" s="102"/>
      <c r="W344" s="105"/>
      <c r="X344" s="105"/>
      <c r="Y344" s="105"/>
      <c r="Z344" s="105"/>
      <c r="AA344" s="105"/>
      <c r="AB344" s="105"/>
      <c r="AC344" s="109"/>
      <c r="AD344" s="107"/>
      <c r="AE344" s="102"/>
      <c r="AF344" s="109"/>
      <c r="AG344" s="107"/>
      <c r="AH344" s="111"/>
      <c r="AI344" s="111"/>
      <c r="AJ344" s="131" t="str">
        <f t="shared" ca="1" si="10"/>
        <v/>
      </c>
      <c r="AK344" s="102"/>
      <c r="AL344" s="102"/>
      <c r="AM344" s="105"/>
      <c r="AN344" s="105"/>
      <c r="AO344" s="105"/>
      <c r="AP344" s="109"/>
      <c r="AQ344" s="112"/>
      <c r="AR344" s="102"/>
      <c r="AS344" s="102"/>
      <c r="AT344" s="113"/>
      <c r="AU344" s="108"/>
      <c r="AV344" s="107"/>
      <c r="AW344" s="109"/>
      <c r="AX344" s="115">
        <f t="shared" si="11"/>
        <v>1900</v>
      </c>
      <c r="AY344" s="115">
        <f t="shared" si="12"/>
        <v>1900</v>
      </c>
    </row>
    <row r="345" spans="1:51" ht="22.5" customHeight="1">
      <c r="A345" s="102"/>
      <c r="B345" s="102"/>
      <c r="C345" s="102"/>
      <c r="D345" s="102"/>
      <c r="E345" s="102"/>
      <c r="F345" s="102"/>
      <c r="G345" s="102"/>
      <c r="H345" s="102"/>
      <c r="I345" s="102"/>
      <c r="J345" s="102"/>
      <c r="K345" s="104"/>
      <c r="L345" s="63" t="str">
        <f t="shared" ca="1" si="9"/>
        <v/>
      </c>
      <c r="M345" s="104"/>
      <c r="N345" s="105"/>
      <c r="O345" s="104"/>
      <c r="P345" s="102"/>
      <c r="Q345" s="111"/>
      <c r="R345" s="118"/>
      <c r="S345" s="107"/>
      <c r="T345" s="102"/>
      <c r="U345" s="102"/>
      <c r="V345" s="102"/>
      <c r="W345" s="105"/>
      <c r="X345" s="105"/>
      <c r="Y345" s="105"/>
      <c r="Z345" s="105"/>
      <c r="AA345" s="105"/>
      <c r="AB345" s="105"/>
      <c r="AC345" s="109"/>
      <c r="AD345" s="107"/>
      <c r="AE345" s="102"/>
      <c r="AF345" s="109"/>
      <c r="AG345" s="107"/>
      <c r="AH345" s="111"/>
      <c r="AI345" s="111"/>
      <c r="AJ345" s="131" t="str">
        <f t="shared" ca="1" si="10"/>
        <v/>
      </c>
      <c r="AK345" s="102"/>
      <c r="AL345" s="102"/>
      <c r="AM345" s="105"/>
      <c r="AN345" s="105"/>
      <c r="AO345" s="105"/>
      <c r="AP345" s="109"/>
      <c r="AQ345" s="112"/>
      <c r="AR345" s="102"/>
      <c r="AS345" s="102"/>
      <c r="AT345" s="113"/>
      <c r="AU345" s="108"/>
      <c r="AV345" s="107"/>
      <c r="AW345" s="109"/>
      <c r="AX345" s="115">
        <f t="shared" si="11"/>
        <v>1900</v>
      </c>
      <c r="AY345" s="115">
        <f t="shared" si="12"/>
        <v>1900</v>
      </c>
    </row>
    <row r="346" spans="1:51" ht="22.5" customHeight="1">
      <c r="A346" s="102"/>
      <c r="B346" s="102"/>
      <c r="C346" s="102"/>
      <c r="D346" s="102"/>
      <c r="E346" s="102"/>
      <c r="F346" s="102"/>
      <c r="G346" s="102"/>
      <c r="H346" s="102"/>
      <c r="I346" s="102"/>
      <c r="J346" s="102"/>
      <c r="K346" s="104"/>
      <c r="L346" s="63" t="str">
        <f t="shared" ca="1" si="9"/>
        <v/>
      </c>
      <c r="M346" s="104"/>
      <c r="N346" s="105"/>
      <c r="O346" s="104"/>
      <c r="P346" s="102"/>
      <c r="Q346" s="111"/>
      <c r="R346" s="118"/>
      <c r="S346" s="107"/>
      <c r="T346" s="102"/>
      <c r="U346" s="102"/>
      <c r="V346" s="102"/>
      <c r="W346" s="105"/>
      <c r="X346" s="105"/>
      <c r="Y346" s="105"/>
      <c r="Z346" s="105"/>
      <c r="AA346" s="105"/>
      <c r="AB346" s="105"/>
      <c r="AC346" s="109"/>
      <c r="AD346" s="107"/>
      <c r="AE346" s="102"/>
      <c r="AF346" s="109"/>
      <c r="AG346" s="107"/>
      <c r="AH346" s="111"/>
      <c r="AI346" s="111"/>
      <c r="AJ346" s="131" t="str">
        <f t="shared" ca="1" si="10"/>
        <v/>
      </c>
      <c r="AK346" s="102"/>
      <c r="AL346" s="102"/>
      <c r="AM346" s="105"/>
      <c r="AN346" s="105"/>
      <c r="AO346" s="105"/>
      <c r="AP346" s="109"/>
      <c r="AQ346" s="112"/>
      <c r="AR346" s="102"/>
      <c r="AS346" s="102"/>
      <c r="AT346" s="113"/>
      <c r="AU346" s="108"/>
      <c r="AV346" s="107"/>
      <c r="AW346" s="109"/>
      <c r="AX346" s="115">
        <f t="shared" si="11"/>
        <v>1900</v>
      </c>
      <c r="AY346" s="115">
        <f t="shared" si="12"/>
        <v>1900</v>
      </c>
    </row>
    <row r="347" spans="1:51" ht="22.5" customHeight="1">
      <c r="A347" s="102"/>
      <c r="B347" s="102"/>
      <c r="C347" s="102"/>
      <c r="D347" s="102"/>
      <c r="E347" s="102"/>
      <c r="F347" s="102"/>
      <c r="G347" s="102"/>
      <c r="H347" s="102"/>
      <c r="I347" s="102"/>
      <c r="J347" s="102"/>
      <c r="K347" s="104"/>
      <c r="L347" s="63" t="str">
        <f t="shared" ca="1" si="9"/>
        <v/>
      </c>
      <c r="M347" s="104"/>
      <c r="N347" s="105"/>
      <c r="O347" s="104"/>
      <c r="P347" s="102"/>
      <c r="Q347" s="111"/>
      <c r="R347" s="118"/>
      <c r="S347" s="107"/>
      <c r="T347" s="102"/>
      <c r="U347" s="102"/>
      <c r="V347" s="102"/>
      <c r="W347" s="105"/>
      <c r="X347" s="105"/>
      <c r="Y347" s="105"/>
      <c r="Z347" s="105"/>
      <c r="AA347" s="105"/>
      <c r="AB347" s="105"/>
      <c r="AC347" s="109"/>
      <c r="AD347" s="107"/>
      <c r="AE347" s="102"/>
      <c r="AF347" s="109"/>
      <c r="AG347" s="107"/>
      <c r="AH347" s="111"/>
      <c r="AI347" s="111"/>
      <c r="AJ347" s="131" t="str">
        <f t="shared" ca="1" si="10"/>
        <v/>
      </c>
      <c r="AK347" s="102"/>
      <c r="AL347" s="102"/>
      <c r="AM347" s="105"/>
      <c r="AN347" s="105"/>
      <c r="AO347" s="105"/>
      <c r="AP347" s="109"/>
      <c r="AQ347" s="112"/>
      <c r="AR347" s="102"/>
      <c r="AS347" s="102"/>
      <c r="AT347" s="113"/>
      <c r="AU347" s="108"/>
      <c r="AV347" s="107"/>
      <c r="AW347" s="109"/>
      <c r="AX347" s="115">
        <f t="shared" si="11"/>
        <v>1900</v>
      </c>
      <c r="AY347" s="115">
        <f t="shared" si="12"/>
        <v>1900</v>
      </c>
    </row>
    <row r="348" spans="1:51" ht="22.5" customHeight="1">
      <c r="A348" s="102"/>
      <c r="B348" s="102"/>
      <c r="C348" s="102"/>
      <c r="D348" s="102"/>
      <c r="E348" s="102"/>
      <c r="F348" s="102"/>
      <c r="G348" s="102"/>
      <c r="H348" s="102"/>
      <c r="I348" s="102"/>
      <c r="J348" s="102"/>
      <c r="K348" s="104"/>
      <c r="L348" s="63" t="str">
        <f t="shared" ca="1" si="9"/>
        <v/>
      </c>
      <c r="M348" s="104"/>
      <c r="N348" s="105"/>
      <c r="O348" s="104"/>
      <c r="P348" s="102"/>
      <c r="Q348" s="111"/>
      <c r="R348" s="118"/>
      <c r="S348" s="107"/>
      <c r="T348" s="102"/>
      <c r="U348" s="102"/>
      <c r="V348" s="102"/>
      <c r="W348" s="105"/>
      <c r="X348" s="105"/>
      <c r="Y348" s="105"/>
      <c r="Z348" s="105"/>
      <c r="AA348" s="105"/>
      <c r="AB348" s="105"/>
      <c r="AC348" s="109"/>
      <c r="AD348" s="107"/>
      <c r="AE348" s="102"/>
      <c r="AF348" s="109"/>
      <c r="AG348" s="107"/>
      <c r="AH348" s="111"/>
      <c r="AI348" s="111"/>
      <c r="AJ348" s="131" t="str">
        <f t="shared" ca="1" si="10"/>
        <v/>
      </c>
      <c r="AK348" s="102"/>
      <c r="AL348" s="102"/>
      <c r="AM348" s="105"/>
      <c r="AN348" s="105"/>
      <c r="AO348" s="105"/>
      <c r="AP348" s="109"/>
      <c r="AQ348" s="112"/>
      <c r="AR348" s="102"/>
      <c r="AS348" s="102"/>
      <c r="AT348" s="113"/>
      <c r="AU348" s="108"/>
      <c r="AV348" s="107"/>
      <c r="AW348" s="109"/>
      <c r="AX348" s="115">
        <f t="shared" si="11"/>
        <v>1900</v>
      </c>
      <c r="AY348" s="115">
        <f t="shared" si="12"/>
        <v>1900</v>
      </c>
    </row>
    <row r="349" spans="1:51" ht="22.5" customHeight="1">
      <c r="A349" s="102"/>
      <c r="B349" s="102"/>
      <c r="C349" s="102"/>
      <c r="D349" s="102"/>
      <c r="E349" s="102"/>
      <c r="F349" s="102"/>
      <c r="G349" s="102"/>
      <c r="H349" s="102"/>
      <c r="I349" s="102"/>
      <c r="J349" s="102"/>
      <c r="K349" s="104"/>
      <c r="L349" s="63" t="str">
        <f t="shared" ca="1" si="9"/>
        <v/>
      </c>
      <c r="M349" s="104"/>
      <c r="N349" s="105"/>
      <c r="O349" s="104"/>
      <c r="P349" s="102"/>
      <c r="Q349" s="111"/>
      <c r="R349" s="118"/>
      <c r="S349" s="107"/>
      <c r="T349" s="102"/>
      <c r="U349" s="102"/>
      <c r="V349" s="102"/>
      <c r="W349" s="105"/>
      <c r="X349" s="105"/>
      <c r="Y349" s="105"/>
      <c r="Z349" s="105"/>
      <c r="AA349" s="105"/>
      <c r="AB349" s="105"/>
      <c r="AC349" s="109"/>
      <c r="AD349" s="107"/>
      <c r="AE349" s="102"/>
      <c r="AF349" s="109"/>
      <c r="AG349" s="107"/>
      <c r="AH349" s="111"/>
      <c r="AI349" s="111"/>
      <c r="AJ349" s="131" t="str">
        <f t="shared" ca="1" si="10"/>
        <v/>
      </c>
      <c r="AK349" s="102"/>
      <c r="AL349" s="102"/>
      <c r="AM349" s="105"/>
      <c r="AN349" s="105"/>
      <c r="AO349" s="105"/>
      <c r="AP349" s="109"/>
      <c r="AQ349" s="112"/>
      <c r="AR349" s="102"/>
      <c r="AS349" s="102"/>
      <c r="AT349" s="113"/>
      <c r="AU349" s="108"/>
      <c r="AV349" s="107"/>
      <c r="AW349" s="109"/>
      <c r="AX349" s="115">
        <f t="shared" si="11"/>
        <v>1900</v>
      </c>
      <c r="AY349" s="115">
        <f t="shared" si="12"/>
        <v>1900</v>
      </c>
    </row>
    <row r="350" spans="1:51" ht="22.5" customHeight="1">
      <c r="A350" s="102"/>
      <c r="B350" s="102"/>
      <c r="C350" s="102"/>
      <c r="D350" s="102"/>
      <c r="E350" s="102"/>
      <c r="F350" s="102"/>
      <c r="G350" s="102"/>
      <c r="H350" s="102"/>
      <c r="I350" s="102"/>
      <c r="J350" s="102"/>
      <c r="K350" s="104"/>
      <c r="L350" s="63" t="str">
        <f t="shared" ca="1" si="9"/>
        <v/>
      </c>
      <c r="M350" s="104"/>
      <c r="N350" s="105"/>
      <c r="O350" s="104"/>
      <c r="P350" s="102"/>
      <c r="Q350" s="111"/>
      <c r="R350" s="118"/>
      <c r="S350" s="107"/>
      <c r="T350" s="102"/>
      <c r="U350" s="102"/>
      <c r="V350" s="102"/>
      <c r="W350" s="105"/>
      <c r="X350" s="105"/>
      <c r="Y350" s="105"/>
      <c r="Z350" s="105"/>
      <c r="AA350" s="105"/>
      <c r="AB350" s="105"/>
      <c r="AC350" s="109"/>
      <c r="AD350" s="107"/>
      <c r="AE350" s="102"/>
      <c r="AF350" s="109"/>
      <c r="AG350" s="107"/>
      <c r="AH350" s="111"/>
      <c r="AI350" s="111"/>
      <c r="AJ350" s="131" t="str">
        <f t="shared" ca="1" si="10"/>
        <v/>
      </c>
      <c r="AK350" s="102"/>
      <c r="AL350" s="102"/>
      <c r="AM350" s="105"/>
      <c r="AN350" s="105"/>
      <c r="AO350" s="105"/>
      <c r="AP350" s="109"/>
      <c r="AQ350" s="112"/>
      <c r="AR350" s="102"/>
      <c r="AS350" s="102"/>
      <c r="AT350" s="113"/>
      <c r="AU350" s="108"/>
      <c r="AV350" s="107"/>
      <c r="AW350" s="109"/>
      <c r="AX350" s="115">
        <f t="shared" si="11"/>
        <v>1900</v>
      </c>
      <c r="AY350" s="115">
        <f t="shared" si="12"/>
        <v>1900</v>
      </c>
    </row>
    <row r="351" spans="1:51" ht="22.5" customHeight="1">
      <c r="A351" s="102"/>
      <c r="B351" s="102"/>
      <c r="C351" s="102"/>
      <c r="D351" s="102"/>
      <c r="E351" s="102"/>
      <c r="F351" s="102"/>
      <c r="G351" s="102"/>
      <c r="H351" s="102"/>
      <c r="I351" s="102"/>
      <c r="J351" s="102"/>
      <c r="K351" s="104"/>
      <c r="L351" s="63" t="str">
        <f t="shared" ca="1" si="9"/>
        <v/>
      </c>
      <c r="M351" s="104"/>
      <c r="N351" s="105"/>
      <c r="O351" s="104"/>
      <c r="P351" s="102"/>
      <c r="Q351" s="111"/>
      <c r="R351" s="118"/>
      <c r="S351" s="107"/>
      <c r="T351" s="102"/>
      <c r="U351" s="102"/>
      <c r="V351" s="102"/>
      <c r="W351" s="105"/>
      <c r="X351" s="105"/>
      <c r="Y351" s="105"/>
      <c r="Z351" s="105"/>
      <c r="AA351" s="105"/>
      <c r="AB351" s="105"/>
      <c r="AC351" s="109"/>
      <c r="AD351" s="107"/>
      <c r="AE351" s="102"/>
      <c r="AF351" s="109"/>
      <c r="AG351" s="107"/>
      <c r="AH351" s="111"/>
      <c r="AI351" s="111"/>
      <c r="AJ351" s="131" t="str">
        <f t="shared" ca="1" si="10"/>
        <v/>
      </c>
      <c r="AK351" s="102"/>
      <c r="AL351" s="102"/>
      <c r="AM351" s="105"/>
      <c r="AN351" s="105"/>
      <c r="AO351" s="105"/>
      <c r="AP351" s="109"/>
      <c r="AQ351" s="112"/>
      <c r="AR351" s="102"/>
      <c r="AS351" s="102"/>
      <c r="AT351" s="113"/>
      <c r="AU351" s="108"/>
      <c r="AV351" s="107"/>
      <c r="AW351" s="109"/>
      <c r="AX351" s="115">
        <f t="shared" si="11"/>
        <v>1900</v>
      </c>
      <c r="AY351" s="115">
        <f t="shared" si="12"/>
        <v>1900</v>
      </c>
    </row>
    <row r="352" spans="1:51" ht="22.5" customHeight="1">
      <c r="A352" s="102"/>
      <c r="B352" s="102"/>
      <c r="C352" s="102"/>
      <c r="D352" s="102"/>
      <c r="E352" s="102"/>
      <c r="F352" s="102"/>
      <c r="G352" s="102"/>
      <c r="H352" s="102"/>
      <c r="I352" s="102"/>
      <c r="J352" s="102"/>
      <c r="K352" s="104"/>
      <c r="L352" s="63" t="str">
        <f t="shared" ca="1" si="9"/>
        <v/>
      </c>
      <c r="M352" s="104"/>
      <c r="N352" s="105"/>
      <c r="O352" s="104"/>
      <c r="P352" s="102"/>
      <c r="Q352" s="111"/>
      <c r="R352" s="118"/>
      <c r="S352" s="107"/>
      <c r="T352" s="102"/>
      <c r="U352" s="102"/>
      <c r="V352" s="102"/>
      <c r="W352" s="105"/>
      <c r="X352" s="105"/>
      <c r="Y352" s="105"/>
      <c r="Z352" s="105"/>
      <c r="AA352" s="105"/>
      <c r="AB352" s="105"/>
      <c r="AC352" s="109"/>
      <c r="AD352" s="107"/>
      <c r="AE352" s="102"/>
      <c r="AF352" s="109"/>
      <c r="AG352" s="107"/>
      <c r="AH352" s="111"/>
      <c r="AI352" s="111"/>
      <c r="AJ352" s="131" t="str">
        <f t="shared" ca="1" si="10"/>
        <v/>
      </c>
      <c r="AK352" s="102"/>
      <c r="AL352" s="102"/>
      <c r="AM352" s="105"/>
      <c r="AN352" s="105"/>
      <c r="AO352" s="105"/>
      <c r="AP352" s="109"/>
      <c r="AQ352" s="112"/>
      <c r="AR352" s="102"/>
      <c r="AS352" s="102"/>
      <c r="AT352" s="113"/>
      <c r="AU352" s="108"/>
      <c r="AV352" s="107"/>
      <c r="AW352" s="109"/>
      <c r="AX352" s="115">
        <f t="shared" si="11"/>
        <v>1900</v>
      </c>
      <c r="AY352" s="115">
        <f t="shared" si="12"/>
        <v>1900</v>
      </c>
    </row>
    <row r="353" spans="1:51" ht="22.5" customHeight="1">
      <c r="A353" s="102"/>
      <c r="B353" s="102"/>
      <c r="C353" s="102"/>
      <c r="D353" s="102"/>
      <c r="E353" s="102"/>
      <c r="F353" s="102"/>
      <c r="G353" s="102"/>
      <c r="H353" s="102"/>
      <c r="I353" s="102"/>
      <c r="J353" s="102"/>
      <c r="K353" s="104"/>
      <c r="L353" s="63" t="str">
        <f t="shared" ca="1" si="9"/>
        <v/>
      </c>
      <c r="M353" s="104"/>
      <c r="N353" s="105"/>
      <c r="O353" s="104"/>
      <c r="P353" s="102"/>
      <c r="Q353" s="111"/>
      <c r="R353" s="118"/>
      <c r="S353" s="107"/>
      <c r="T353" s="102"/>
      <c r="U353" s="102"/>
      <c r="V353" s="102"/>
      <c r="W353" s="105"/>
      <c r="X353" s="105"/>
      <c r="Y353" s="105"/>
      <c r="Z353" s="105"/>
      <c r="AA353" s="105"/>
      <c r="AB353" s="105"/>
      <c r="AC353" s="109"/>
      <c r="AD353" s="107"/>
      <c r="AE353" s="102"/>
      <c r="AF353" s="109"/>
      <c r="AG353" s="107"/>
      <c r="AH353" s="111"/>
      <c r="AI353" s="111"/>
      <c r="AJ353" s="131" t="str">
        <f t="shared" ca="1" si="10"/>
        <v/>
      </c>
      <c r="AK353" s="102"/>
      <c r="AL353" s="102"/>
      <c r="AM353" s="105"/>
      <c r="AN353" s="105"/>
      <c r="AO353" s="105"/>
      <c r="AP353" s="109"/>
      <c r="AQ353" s="112"/>
      <c r="AR353" s="102"/>
      <c r="AS353" s="102"/>
      <c r="AT353" s="113"/>
      <c r="AU353" s="108"/>
      <c r="AV353" s="107"/>
      <c r="AW353" s="109"/>
      <c r="AX353" s="115">
        <f t="shared" si="11"/>
        <v>1900</v>
      </c>
      <c r="AY353" s="115">
        <f t="shared" si="12"/>
        <v>1900</v>
      </c>
    </row>
    <row r="354" spans="1:51" ht="22.5" customHeight="1">
      <c r="A354" s="102"/>
      <c r="B354" s="102"/>
      <c r="C354" s="102"/>
      <c r="D354" s="102"/>
      <c r="E354" s="102"/>
      <c r="F354" s="102"/>
      <c r="G354" s="102"/>
      <c r="H354" s="102"/>
      <c r="I354" s="102"/>
      <c r="J354" s="102"/>
      <c r="K354" s="104"/>
      <c r="L354" s="63" t="str">
        <f t="shared" ca="1" si="9"/>
        <v/>
      </c>
      <c r="M354" s="104"/>
      <c r="N354" s="105"/>
      <c r="O354" s="104"/>
      <c r="P354" s="102"/>
      <c r="Q354" s="111"/>
      <c r="R354" s="118"/>
      <c r="S354" s="107"/>
      <c r="T354" s="102"/>
      <c r="U354" s="102"/>
      <c r="V354" s="102"/>
      <c r="W354" s="105"/>
      <c r="X354" s="105"/>
      <c r="Y354" s="105"/>
      <c r="Z354" s="105"/>
      <c r="AA354" s="105"/>
      <c r="AB354" s="105"/>
      <c r="AC354" s="109"/>
      <c r="AD354" s="107"/>
      <c r="AE354" s="102"/>
      <c r="AF354" s="109"/>
      <c r="AG354" s="107"/>
      <c r="AH354" s="111"/>
      <c r="AI354" s="111"/>
      <c r="AJ354" s="131" t="str">
        <f t="shared" ca="1" si="10"/>
        <v/>
      </c>
      <c r="AK354" s="102"/>
      <c r="AL354" s="102"/>
      <c r="AM354" s="105"/>
      <c r="AN354" s="105"/>
      <c r="AO354" s="105"/>
      <c r="AP354" s="109"/>
      <c r="AQ354" s="112"/>
      <c r="AR354" s="102"/>
      <c r="AS354" s="102"/>
      <c r="AT354" s="113"/>
      <c r="AU354" s="108"/>
      <c r="AV354" s="107"/>
      <c r="AW354" s="109"/>
      <c r="AX354" s="115">
        <f t="shared" si="11"/>
        <v>1900</v>
      </c>
      <c r="AY354" s="115">
        <f t="shared" si="12"/>
        <v>1900</v>
      </c>
    </row>
    <row r="355" spans="1:51" ht="22.5" customHeight="1">
      <c r="A355" s="102"/>
      <c r="B355" s="102"/>
      <c r="C355" s="102"/>
      <c r="D355" s="102"/>
      <c r="E355" s="102"/>
      <c r="F355" s="102"/>
      <c r="G355" s="102"/>
      <c r="H355" s="102"/>
      <c r="I355" s="102"/>
      <c r="J355" s="102"/>
      <c r="K355" s="104"/>
      <c r="L355" s="63" t="str">
        <f t="shared" ca="1" si="9"/>
        <v/>
      </c>
      <c r="M355" s="104"/>
      <c r="N355" s="105"/>
      <c r="O355" s="104"/>
      <c r="P355" s="102"/>
      <c r="Q355" s="111"/>
      <c r="R355" s="118"/>
      <c r="S355" s="107"/>
      <c r="T355" s="102"/>
      <c r="U355" s="102"/>
      <c r="V355" s="102"/>
      <c r="W355" s="105"/>
      <c r="X355" s="105"/>
      <c r="Y355" s="105"/>
      <c r="Z355" s="105"/>
      <c r="AA355" s="105"/>
      <c r="AB355" s="105"/>
      <c r="AC355" s="109"/>
      <c r="AD355" s="107"/>
      <c r="AE355" s="102"/>
      <c r="AF355" s="109"/>
      <c r="AG355" s="107"/>
      <c r="AH355" s="111"/>
      <c r="AI355" s="111"/>
      <c r="AJ355" s="131" t="str">
        <f t="shared" ca="1" si="10"/>
        <v/>
      </c>
      <c r="AK355" s="102"/>
      <c r="AL355" s="102"/>
      <c r="AM355" s="105"/>
      <c r="AN355" s="105"/>
      <c r="AO355" s="105"/>
      <c r="AP355" s="109"/>
      <c r="AQ355" s="112"/>
      <c r="AR355" s="102"/>
      <c r="AS355" s="102"/>
      <c r="AT355" s="113"/>
      <c r="AU355" s="108"/>
      <c r="AV355" s="107"/>
      <c r="AW355" s="109"/>
      <c r="AX355" s="115">
        <f t="shared" si="11"/>
        <v>1900</v>
      </c>
      <c r="AY355" s="115">
        <f t="shared" si="12"/>
        <v>1900</v>
      </c>
    </row>
    <row r="356" spans="1:51" ht="22.5" customHeight="1">
      <c r="A356" s="102"/>
      <c r="B356" s="102"/>
      <c r="C356" s="102"/>
      <c r="D356" s="102"/>
      <c r="E356" s="102"/>
      <c r="F356" s="102"/>
      <c r="G356" s="102"/>
      <c r="H356" s="102"/>
      <c r="I356" s="102"/>
      <c r="J356" s="102"/>
      <c r="K356" s="104"/>
      <c r="L356" s="63" t="str">
        <f t="shared" ca="1" si="9"/>
        <v/>
      </c>
      <c r="M356" s="104"/>
      <c r="N356" s="105"/>
      <c r="O356" s="104"/>
      <c r="P356" s="102"/>
      <c r="Q356" s="111"/>
      <c r="R356" s="118"/>
      <c r="S356" s="107"/>
      <c r="T356" s="102"/>
      <c r="U356" s="102"/>
      <c r="V356" s="102"/>
      <c r="W356" s="105"/>
      <c r="X356" s="105"/>
      <c r="Y356" s="105"/>
      <c r="Z356" s="105"/>
      <c r="AA356" s="105"/>
      <c r="AB356" s="105"/>
      <c r="AC356" s="109"/>
      <c r="AD356" s="107"/>
      <c r="AE356" s="102"/>
      <c r="AF356" s="109"/>
      <c r="AG356" s="107"/>
      <c r="AH356" s="111"/>
      <c r="AI356" s="111"/>
      <c r="AJ356" s="131" t="str">
        <f t="shared" ca="1" si="10"/>
        <v/>
      </c>
      <c r="AK356" s="102"/>
      <c r="AL356" s="102"/>
      <c r="AM356" s="105"/>
      <c r="AN356" s="105"/>
      <c r="AO356" s="105"/>
      <c r="AP356" s="109"/>
      <c r="AQ356" s="112"/>
      <c r="AR356" s="102"/>
      <c r="AS356" s="102"/>
      <c r="AT356" s="113"/>
      <c r="AU356" s="108"/>
      <c r="AV356" s="107"/>
      <c r="AW356" s="109"/>
      <c r="AX356" s="115">
        <f t="shared" si="11"/>
        <v>1900</v>
      </c>
      <c r="AY356" s="115">
        <f t="shared" si="12"/>
        <v>1900</v>
      </c>
    </row>
    <row r="357" spans="1:51" ht="22.5" customHeight="1">
      <c r="A357" s="102"/>
      <c r="B357" s="102"/>
      <c r="C357" s="102"/>
      <c r="D357" s="102"/>
      <c r="E357" s="102"/>
      <c r="F357" s="102"/>
      <c r="G357" s="102"/>
      <c r="H357" s="102"/>
      <c r="I357" s="102"/>
      <c r="J357" s="102"/>
      <c r="K357" s="104"/>
      <c r="L357" s="63" t="str">
        <f t="shared" ca="1" si="9"/>
        <v/>
      </c>
      <c r="M357" s="104"/>
      <c r="N357" s="105"/>
      <c r="O357" s="104"/>
      <c r="P357" s="102"/>
      <c r="Q357" s="111"/>
      <c r="R357" s="118"/>
      <c r="S357" s="107"/>
      <c r="T357" s="102"/>
      <c r="U357" s="102"/>
      <c r="V357" s="102"/>
      <c r="W357" s="105"/>
      <c r="X357" s="105"/>
      <c r="Y357" s="105"/>
      <c r="Z357" s="105"/>
      <c r="AA357" s="105"/>
      <c r="AB357" s="105"/>
      <c r="AC357" s="109"/>
      <c r="AD357" s="107"/>
      <c r="AE357" s="102"/>
      <c r="AF357" s="109"/>
      <c r="AG357" s="107"/>
      <c r="AH357" s="111"/>
      <c r="AI357" s="111"/>
      <c r="AJ357" s="131" t="str">
        <f t="shared" ca="1" si="10"/>
        <v/>
      </c>
      <c r="AK357" s="102"/>
      <c r="AL357" s="102"/>
      <c r="AM357" s="105"/>
      <c r="AN357" s="105"/>
      <c r="AO357" s="105"/>
      <c r="AP357" s="109"/>
      <c r="AQ357" s="112"/>
      <c r="AR357" s="102"/>
      <c r="AS357" s="102"/>
      <c r="AT357" s="113"/>
      <c r="AU357" s="108"/>
      <c r="AV357" s="107"/>
      <c r="AW357" s="109"/>
      <c r="AX357" s="115">
        <f t="shared" si="11"/>
        <v>1900</v>
      </c>
      <c r="AY357" s="115">
        <f t="shared" si="12"/>
        <v>1900</v>
      </c>
    </row>
    <row r="358" spans="1:51" ht="22.5" customHeight="1">
      <c r="A358" s="102"/>
      <c r="B358" s="102"/>
      <c r="C358" s="102"/>
      <c r="D358" s="102"/>
      <c r="E358" s="102"/>
      <c r="F358" s="102"/>
      <c r="G358" s="102"/>
      <c r="H358" s="102"/>
      <c r="I358" s="102"/>
      <c r="J358" s="102"/>
      <c r="K358" s="104"/>
      <c r="L358" s="63" t="str">
        <f t="shared" ca="1" si="9"/>
        <v/>
      </c>
      <c r="M358" s="104"/>
      <c r="N358" s="105"/>
      <c r="O358" s="104"/>
      <c r="P358" s="102"/>
      <c r="Q358" s="111"/>
      <c r="R358" s="118"/>
      <c r="S358" s="107"/>
      <c r="T358" s="102"/>
      <c r="U358" s="102"/>
      <c r="V358" s="102"/>
      <c r="W358" s="105"/>
      <c r="X358" s="105"/>
      <c r="Y358" s="105"/>
      <c r="Z358" s="105"/>
      <c r="AA358" s="105"/>
      <c r="AB358" s="105"/>
      <c r="AC358" s="109"/>
      <c r="AD358" s="107"/>
      <c r="AE358" s="102"/>
      <c r="AF358" s="109"/>
      <c r="AG358" s="107"/>
      <c r="AH358" s="111"/>
      <c r="AI358" s="111"/>
      <c r="AJ358" s="131" t="str">
        <f t="shared" ca="1" si="10"/>
        <v/>
      </c>
      <c r="AK358" s="102"/>
      <c r="AL358" s="102"/>
      <c r="AM358" s="105"/>
      <c r="AN358" s="105"/>
      <c r="AO358" s="105"/>
      <c r="AP358" s="109"/>
      <c r="AQ358" s="112"/>
      <c r="AR358" s="102"/>
      <c r="AS358" s="102"/>
      <c r="AT358" s="113"/>
      <c r="AU358" s="108"/>
      <c r="AV358" s="107"/>
      <c r="AW358" s="109"/>
      <c r="AX358" s="115">
        <f t="shared" si="11"/>
        <v>1900</v>
      </c>
      <c r="AY358" s="115">
        <f t="shared" si="12"/>
        <v>1900</v>
      </c>
    </row>
    <row r="359" spans="1:51" ht="22.5" customHeight="1">
      <c r="A359" s="102"/>
      <c r="B359" s="102"/>
      <c r="C359" s="102"/>
      <c r="D359" s="102"/>
      <c r="E359" s="102"/>
      <c r="F359" s="102"/>
      <c r="G359" s="102"/>
      <c r="H359" s="102"/>
      <c r="I359" s="102"/>
      <c r="J359" s="102"/>
      <c r="K359" s="104"/>
      <c r="L359" s="63" t="str">
        <f t="shared" ca="1" si="9"/>
        <v/>
      </c>
      <c r="M359" s="104"/>
      <c r="N359" s="105"/>
      <c r="O359" s="104"/>
      <c r="P359" s="102"/>
      <c r="Q359" s="111"/>
      <c r="R359" s="118"/>
      <c r="S359" s="107"/>
      <c r="T359" s="102"/>
      <c r="U359" s="102"/>
      <c r="V359" s="102"/>
      <c r="W359" s="105"/>
      <c r="X359" s="105"/>
      <c r="Y359" s="105"/>
      <c r="Z359" s="105"/>
      <c r="AA359" s="105"/>
      <c r="AB359" s="105"/>
      <c r="AC359" s="109"/>
      <c r="AD359" s="107"/>
      <c r="AE359" s="102"/>
      <c r="AF359" s="109"/>
      <c r="AG359" s="107"/>
      <c r="AH359" s="111"/>
      <c r="AI359" s="111"/>
      <c r="AJ359" s="131" t="str">
        <f t="shared" ca="1" si="10"/>
        <v/>
      </c>
      <c r="AK359" s="102"/>
      <c r="AL359" s="102"/>
      <c r="AM359" s="105"/>
      <c r="AN359" s="105"/>
      <c r="AO359" s="105"/>
      <c r="AP359" s="109"/>
      <c r="AQ359" s="112"/>
      <c r="AR359" s="102"/>
      <c r="AS359" s="102"/>
      <c r="AT359" s="113"/>
      <c r="AU359" s="108"/>
      <c r="AV359" s="107"/>
      <c r="AW359" s="109"/>
      <c r="AX359" s="115">
        <f t="shared" si="11"/>
        <v>1900</v>
      </c>
      <c r="AY359" s="115">
        <f t="shared" si="12"/>
        <v>1900</v>
      </c>
    </row>
    <row r="360" spans="1:51" ht="22.5" customHeight="1">
      <c r="A360" s="102"/>
      <c r="B360" s="102"/>
      <c r="C360" s="102"/>
      <c r="D360" s="102"/>
      <c r="E360" s="102"/>
      <c r="F360" s="102"/>
      <c r="G360" s="102"/>
      <c r="H360" s="102"/>
      <c r="I360" s="102"/>
      <c r="J360" s="102"/>
      <c r="K360" s="104"/>
      <c r="L360" s="63" t="str">
        <f t="shared" ca="1" si="9"/>
        <v/>
      </c>
      <c r="M360" s="104"/>
      <c r="N360" s="105"/>
      <c r="O360" s="104"/>
      <c r="P360" s="102"/>
      <c r="Q360" s="111"/>
      <c r="R360" s="118"/>
      <c r="S360" s="107"/>
      <c r="T360" s="102"/>
      <c r="U360" s="102"/>
      <c r="V360" s="102"/>
      <c r="W360" s="105"/>
      <c r="X360" s="105"/>
      <c r="Y360" s="105"/>
      <c r="Z360" s="105"/>
      <c r="AA360" s="105"/>
      <c r="AB360" s="105"/>
      <c r="AC360" s="109"/>
      <c r="AD360" s="107"/>
      <c r="AE360" s="102"/>
      <c r="AF360" s="109"/>
      <c r="AG360" s="107"/>
      <c r="AH360" s="111"/>
      <c r="AI360" s="111"/>
      <c r="AJ360" s="131" t="str">
        <f t="shared" ca="1" si="10"/>
        <v/>
      </c>
      <c r="AK360" s="102"/>
      <c r="AL360" s="102"/>
      <c r="AM360" s="105"/>
      <c r="AN360" s="105"/>
      <c r="AO360" s="105"/>
      <c r="AP360" s="109"/>
      <c r="AQ360" s="112"/>
      <c r="AR360" s="102"/>
      <c r="AS360" s="102"/>
      <c r="AT360" s="113"/>
      <c r="AU360" s="108"/>
      <c r="AV360" s="107"/>
      <c r="AW360" s="109"/>
      <c r="AX360" s="115">
        <f t="shared" si="11"/>
        <v>1900</v>
      </c>
      <c r="AY360" s="115">
        <f t="shared" si="12"/>
        <v>1900</v>
      </c>
    </row>
    <row r="361" spans="1:51" ht="22.5" customHeight="1">
      <c r="A361" s="102"/>
      <c r="B361" s="102"/>
      <c r="C361" s="102"/>
      <c r="D361" s="102"/>
      <c r="E361" s="102"/>
      <c r="F361" s="102"/>
      <c r="G361" s="102"/>
      <c r="H361" s="102"/>
      <c r="I361" s="102"/>
      <c r="J361" s="102"/>
      <c r="K361" s="104"/>
      <c r="L361" s="63" t="str">
        <f t="shared" ca="1" si="9"/>
        <v/>
      </c>
      <c r="M361" s="104"/>
      <c r="N361" s="105"/>
      <c r="O361" s="104"/>
      <c r="P361" s="102"/>
      <c r="Q361" s="111"/>
      <c r="R361" s="118"/>
      <c r="S361" s="107"/>
      <c r="T361" s="102"/>
      <c r="U361" s="102"/>
      <c r="V361" s="102"/>
      <c r="W361" s="105"/>
      <c r="X361" s="105"/>
      <c r="Y361" s="105"/>
      <c r="Z361" s="105"/>
      <c r="AA361" s="105"/>
      <c r="AB361" s="105"/>
      <c r="AC361" s="109"/>
      <c r="AD361" s="107"/>
      <c r="AE361" s="102"/>
      <c r="AF361" s="109"/>
      <c r="AG361" s="107"/>
      <c r="AH361" s="111"/>
      <c r="AI361" s="111"/>
      <c r="AJ361" s="131" t="str">
        <f t="shared" ca="1" si="10"/>
        <v/>
      </c>
      <c r="AK361" s="102"/>
      <c r="AL361" s="102"/>
      <c r="AM361" s="105"/>
      <c r="AN361" s="105"/>
      <c r="AO361" s="105"/>
      <c r="AP361" s="109"/>
      <c r="AQ361" s="112"/>
      <c r="AR361" s="102"/>
      <c r="AS361" s="102"/>
      <c r="AT361" s="113"/>
      <c r="AU361" s="108"/>
      <c r="AV361" s="107"/>
      <c r="AW361" s="109"/>
      <c r="AX361" s="115">
        <f t="shared" si="11"/>
        <v>1900</v>
      </c>
      <c r="AY361" s="115">
        <f t="shared" si="12"/>
        <v>1900</v>
      </c>
    </row>
    <row r="362" spans="1:51" ht="22.5" customHeight="1">
      <c r="A362" s="102"/>
      <c r="B362" s="102"/>
      <c r="C362" s="102"/>
      <c r="D362" s="102"/>
      <c r="E362" s="102"/>
      <c r="F362" s="102"/>
      <c r="G362" s="102"/>
      <c r="H362" s="102"/>
      <c r="I362" s="102"/>
      <c r="J362" s="102"/>
      <c r="K362" s="104"/>
      <c r="L362" s="63" t="str">
        <f t="shared" ca="1" si="9"/>
        <v/>
      </c>
      <c r="M362" s="104"/>
      <c r="N362" s="105"/>
      <c r="O362" s="104"/>
      <c r="P362" s="102"/>
      <c r="Q362" s="111"/>
      <c r="R362" s="118"/>
      <c r="S362" s="107"/>
      <c r="T362" s="102"/>
      <c r="U362" s="102"/>
      <c r="V362" s="102"/>
      <c r="W362" s="105"/>
      <c r="X362" s="105"/>
      <c r="Y362" s="105"/>
      <c r="Z362" s="105"/>
      <c r="AA362" s="105"/>
      <c r="AB362" s="105"/>
      <c r="AC362" s="109"/>
      <c r="AD362" s="107"/>
      <c r="AE362" s="102"/>
      <c r="AF362" s="109"/>
      <c r="AG362" s="107"/>
      <c r="AH362" s="111"/>
      <c r="AI362" s="111"/>
      <c r="AJ362" s="131" t="str">
        <f t="shared" ca="1" si="10"/>
        <v/>
      </c>
      <c r="AK362" s="102"/>
      <c r="AL362" s="102"/>
      <c r="AM362" s="105"/>
      <c r="AN362" s="105"/>
      <c r="AO362" s="105"/>
      <c r="AP362" s="109"/>
      <c r="AQ362" s="112"/>
      <c r="AR362" s="102"/>
      <c r="AS362" s="102"/>
      <c r="AT362" s="113"/>
      <c r="AU362" s="108"/>
      <c r="AV362" s="107"/>
      <c r="AW362" s="109"/>
      <c r="AX362" s="115">
        <f t="shared" si="11"/>
        <v>1900</v>
      </c>
      <c r="AY362" s="115">
        <f t="shared" si="12"/>
        <v>1900</v>
      </c>
    </row>
    <row r="363" spans="1:51" ht="22.5" customHeight="1">
      <c r="A363" s="102"/>
      <c r="B363" s="102"/>
      <c r="C363" s="102"/>
      <c r="D363" s="102"/>
      <c r="E363" s="102"/>
      <c r="F363" s="102"/>
      <c r="G363" s="102"/>
      <c r="H363" s="102"/>
      <c r="I363" s="102"/>
      <c r="J363" s="102"/>
      <c r="K363" s="104"/>
      <c r="L363" s="63" t="str">
        <f t="shared" ca="1" si="9"/>
        <v/>
      </c>
      <c r="M363" s="104"/>
      <c r="N363" s="105"/>
      <c r="O363" s="104"/>
      <c r="P363" s="102"/>
      <c r="Q363" s="111"/>
      <c r="R363" s="118"/>
      <c r="S363" s="107"/>
      <c r="T363" s="102"/>
      <c r="U363" s="102"/>
      <c r="V363" s="102"/>
      <c r="W363" s="105"/>
      <c r="X363" s="105"/>
      <c r="Y363" s="105"/>
      <c r="Z363" s="105"/>
      <c r="AA363" s="105"/>
      <c r="AB363" s="105"/>
      <c r="AC363" s="109"/>
      <c r="AD363" s="107"/>
      <c r="AE363" s="102"/>
      <c r="AF363" s="109"/>
      <c r="AG363" s="107"/>
      <c r="AH363" s="111"/>
      <c r="AI363" s="111"/>
      <c r="AJ363" s="131" t="str">
        <f t="shared" ca="1" si="10"/>
        <v/>
      </c>
      <c r="AK363" s="102"/>
      <c r="AL363" s="102"/>
      <c r="AM363" s="105"/>
      <c r="AN363" s="105"/>
      <c r="AO363" s="105"/>
      <c r="AP363" s="109"/>
      <c r="AQ363" s="112"/>
      <c r="AR363" s="102"/>
      <c r="AS363" s="102"/>
      <c r="AT363" s="113"/>
      <c r="AU363" s="108"/>
      <c r="AV363" s="107"/>
      <c r="AW363" s="109"/>
      <c r="AX363" s="115">
        <f t="shared" si="11"/>
        <v>1900</v>
      </c>
      <c r="AY363" s="115">
        <f t="shared" si="12"/>
        <v>1900</v>
      </c>
    </row>
    <row r="364" spans="1:51" ht="22.5" customHeight="1">
      <c r="A364" s="102"/>
      <c r="B364" s="102"/>
      <c r="C364" s="102"/>
      <c r="D364" s="102"/>
      <c r="E364" s="102"/>
      <c r="F364" s="102"/>
      <c r="G364" s="102"/>
      <c r="H364" s="102"/>
      <c r="I364" s="102"/>
      <c r="J364" s="102"/>
      <c r="K364" s="104"/>
      <c r="L364" s="63" t="str">
        <f t="shared" ca="1" si="9"/>
        <v/>
      </c>
      <c r="M364" s="104"/>
      <c r="N364" s="105"/>
      <c r="O364" s="104"/>
      <c r="P364" s="102"/>
      <c r="Q364" s="111"/>
      <c r="R364" s="118"/>
      <c r="S364" s="107"/>
      <c r="T364" s="102"/>
      <c r="U364" s="102"/>
      <c r="V364" s="102"/>
      <c r="W364" s="105"/>
      <c r="X364" s="105"/>
      <c r="Y364" s="105"/>
      <c r="Z364" s="105"/>
      <c r="AA364" s="105"/>
      <c r="AB364" s="105"/>
      <c r="AC364" s="109"/>
      <c r="AD364" s="107"/>
      <c r="AE364" s="102"/>
      <c r="AF364" s="109"/>
      <c r="AG364" s="107"/>
      <c r="AH364" s="111"/>
      <c r="AI364" s="111"/>
      <c r="AJ364" s="131" t="str">
        <f t="shared" ca="1" si="10"/>
        <v/>
      </c>
      <c r="AK364" s="102"/>
      <c r="AL364" s="102"/>
      <c r="AM364" s="105"/>
      <c r="AN364" s="105"/>
      <c r="AO364" s="105"/>
      <c r="AP364" s="109"/>
      <c r="AQ364" s="112"/>
      <c r="AR364" s="102"/>
      <c r="AS364" s="102"/>
      <c r="AT364" s="113"/>
      <c r="AU364" s="108"/>
      <c r="AV364" s="107"/>
      <c r="AW364" s="109"/>
      <c r="AX364" s="115">
        <f t="shared" si="11"/>
        <v>1900</v>
      </c>
      <c r="AY364" s="115">
        <f t="shared" si="12"/>
        <v>1900</v>
      </c>
    </row>
    <row r="365" spans="1:51" ht="22.5" customHeight="1">
      <c r="A365" s="102"/>
      <c r="B365" s="102"/>
      <c r="C365" s="102"/>
      <c r="D365" s="102"/>
      <c r="E365" s="102"/>
      <c r="F365" s="102"/>
      <c r="G365" s="102"/>
      <c r="H365" s="102"/>
      <c r="I365" s="102"/>
      <c r="J365" s="102"/>
      <c r="K365" s="104"/>
      <c r="L365" s="63" t="str">
        <f t="shared" ca="1" si="9"/>
        <v/>
      </c>
      <c r="M365" s="104"/>
      <c r="N365" s="105"/>
      <c r="O365" s="104"/>
      <c r="P365" s="102"/>
      <c r="Q365" s="111"/>
      <c r="R365" s="118"/>
      <c r="S365" s="107"/>
      <c r="T365" s="102"/>
      <c r="U365" s="102"/>
      <c r="V365" s="102"/>
      <c r="W365" s="105"/>
      <c r="X365" s="105"/>
      <c r="Y365" s="105"/>
      <c r="Z365" s="105"/>
      <c r="AA365" s="105"/>
      <c r="AB365" s="105"/>
      <c r="AC365" s="109"/>
      <c r="AD365" s="107"/>
      <c r="AE365" s="102"/>
      <c r="AF365" s="109"/>
      <c r="AG365" s="107"/>
      <c r="AH365" s="111"/>
      <c r="AI365" s="111"/>
      <c r="AJ365" s="131" t="str">
        <f t="shared" ca="1" si="10"/>
        <v/>
      </c>
      <c r="AK365" s="102"/>
      <c r="AL365" s="102"/>
      <c r="AM365" s="105"/>
      <c r="AN365" s="105"/>
      <c r="AO365" s="105"/>
      <c r="AP365" s="109"/>
      <c r="AQ365" s="112"/>
      <c r="AR365" s="102"/>
      <c r="AS365" s="102"/>
      <c r="AT365" s="113"/>
      <c r="AU365" s="108"/>
      <c r="AV365" s="107"/>
      <c r="AW365" s="109"/>
      <c r="AX365" s="115">
        <f t="shared" si="11"/>
        <v>1900</v>
      </c>
      <c r="AY365" s="115">
        <f t="shared" si="12"/>
        <v>1900</v>
      </c>
    </row>
    <row r="366" spans="1:51" ht="22.5" customHeight="1">
      <c r="A366" s="102"/>
      <c r="B366" s="102"/>
      <c r="C366" s="102"/>
      <c r="D366" s="102"/>
      <c r="E366" s="102"/>
      <c r="F366" s="102"/>
      <c r="G366" s="102"/>
      <c r="H366" s="102"/>
      <c r="I366" s="102"/>
      <c r="J366" s="102"/>
      <c r="K366" s="104"/>
      <c r="L366" s="63" t="str">
        <f t="shared" ca="1" si="9"/>
        <v/>
      </c>
      <c r="M366" s="104"/>
      <c r="N366" s="105"/>
      <c r="O366" s="104"/>
      <c r="P366" s="102"/>
      <c r="Q366" s="111"/>
      <c r="R366" s="118"/>
      <c r="S366" s="107"/>
      <c r="T366" s="102"/>
      <c r="U366" s="102"/>
      <c r="V366" s="102"/>
      <c r="W366" s="105"/>
      <c r="X366" s="105"/>
      <c r="Y366" s="105"/>
      <c r="Z366" s="105"/>
      <c r="AA366" s="105"/>
      <c r="AB366" s="105"/>
      <c r="AC366" s="109"/>
      <c r="AD366" s="107"/>
      <c r="AE366" s="102"/>
      <c r="AF366" s="109"/>
      <c r="AG366" s="107"/>
      <c r="AH366" s="111"/>
      <c r="AI366" s="111"/>
      <c r="AJ366" s="131" t="str">
        <f t="shared" ca="1" si="10"/>
        <v/>
      </c>
      <c r="AK366" s="102"/>
      <c r="AL366" s="102"/>
      <c r="AM366" s="105"/>
      <c r="AN366" s="105"/>
      <c r="AO366" s="105"/>
      <c r="AP366" s="109"/>
      <c r="AQ366" s="112"/>
      <c r="AR366" s="102"/>
      <c r="AS366" s="102"/>
      <c r="AT366" s="113"/>
      <c r="AU366" s="108"/>
      <c r="AV366" s="107"/>
      <c r="AW366" s="109"/>
      <c r="AX366" s="115">
        <f t="shared" si="11"/>
        <v>1900</v>
      </c>
      <c r="AY366" s="115">
        <f t="shared" si="12"/>
        <v>1900</v>
      </c>
    </row>
    <row r="367" spans="1:51" ht="22.5" customHeight="1">
      <c r="A367" s="102"/>
      <c r="B367" s="102"/>
      <c r="C367" s="102"/>
      <c r="D367" s="102"/>
      <c r="E367" s="102"/>
      <c r="F367" s="102"/>
      <c r="G367" s="102"/>
      <c r="H367" s="102"/>
      <c r="I367" s="102"/>
      <c r="J367" s="102"/>
      <c r="K367" s="104"/>
      <c r="L367" s="63" t="str">
        <f t="shared" ca="1" si="9"/>
        <v/>
      </c>
      <c r="M367" s="104"/>
      <c r="N367" s="105"/>
      <c r="O367" s="104"/>
      <c r="P367" s="102"/>
      <c r="Q367" s="111"/>
      <c r="R367" s="118"/>
      <c r="S367" s="107"/>
      <c r="T367" s="102"/>
      <c r="U367" s="102"/>
      <c r="V367" s="102"/>
      <c r="W367" s="105"/>
      <c r="X367" s="105"/>
      <c r="Y367" s="105"/>
      <c r="Z367" s="105"/>
      <c r="AA367" s="105"/>
      <c r="AB367" s="105"/>
      <c r="AC367" s="109"/>
      <c r="AD367" s="107"/>
      <c r="AE367" s="102"/>
      <c r="AF367" s="109"/>
      <c r="AG367" s="107"/>
      <c r="AH367" s="111"/>
      <c r="AI367" s="111"/>
      <c r="AJ367" s="131" t="str">
        <f t="shared" ca="1" si="10"/>
        <v/>
      </c>
      <c r="AK367" s="102"/>
      <c r="AL367" s="102"/>
      <c r="AM367" s="105"/>
      <c r="AN367" s="105"/>
      <c r="AO367" s="105"/>
      <c r="AP367" s="109"/>
      <c r="AQ367" s="112"/>
      <c r="AR367" s="102"/>
      <c r="AS367" s="102"/>
      <c r="AT367" s="113"/>
      <c r="AU367" s="108"/>
      <c r="AV367" s="107"/>
      <c r="AW367" s="109"/>
      <c r="AX367" s="115">
        <f t="shared" si="11"/>
        <v>1900</v>
      </c>
      <c r="AY367" s="115">
        <f t="shared" si="12"/>
        <v>1900</v>
      </c>
    </row>
    <row r="368" spans="1:51" ht="22.5" customHeight="1">
      <c r="A368" s="102"/>
      <c r="B368" s="102"/>
      <c r="C368" s="102"/>
      <c r="D368" s="102"/>
      <c r="E368" s="102"/>
      <c r="F368" s="102"/>
      <c r="G368" s="102"/>
      <c r="H368" s="102"/>
      <c r="I368" s="102"/>
      <c r="J368" s="102"/>
      <c r="K368" s="104"/>
      <c r="L368" s="63" t="str">
        <f t="shared" ca="1" si="9"/>
        <v/>
      </c>
      <c r="M368" s="104"/>
      <c r="N368" s="105"/>
      <c r="O368" s="104"/>
      <c r="P368" s="102"/>
      <c r="Q368" s="111"/>
      <c r="R368" s="118"/>
      <c r="S368" s="107"/>
      <c r="T368" s="102"/>
      <c r="U368" s="102"/>
      <c r="V368" s="102"/>
      <c r="W368" s="105"/>
      <c r="X368" s="105"/>
      <c r="Y368" s="105"/>
      <c r="Z368" s="105"/>
      <c r="AA368" s="105"/>
      <c r="AB368" s="105"/>
      <c r="AC368" s="109"/>
      <c r="AD368" s="107"/>
      <c r="AE368" s="102"/>
      <c r="AF368" s="109"/>
      <c r="AG368" s="107"/>
      <c r="AH368" s="111"/>
      <c r="AI368" s="111"/>
      <c r="AJ368" s="131" t="str">
        <f t="shared" ca="1" si="10"/>
        <v/>
      </c>
      <c r="AK368" s="102"/>
      <c r="AL368" s="102"/>
      <c r="AM368" s="105"/>
      <c r="AN368" s="105"/>
      <c r="AO368" s="105"/>
      <c r="AP368" s="109"/>
      <c r="AQ368" s="112"/>
      <c r="AR368" s="102"/>
      <c r="AS368" s="102"/>
      <c r="AT368" s="113"/>
      <c r="AU368" s="108"/>
      <c r="AV368" s="107"/>
      <c r="AW368" s="109"/>
      <c r="AX368" s="115">
        <f t="shared" si="11"/>
        <v>1900</v>
      </c>
      <c r="AY368" s="115">
        <f t="shared" si="12"/>
        <v>1900</v>
      </c>
    </row>
    <row r="369" spans="1:51" ht="22.5" customHeight="1">
      <c r="A369" s="102"/>
      <c r="B369" s="102"/>
      <c r="C369" s="102"/>
      <c r="D369" s="102"/>
      <c r="E369" s="102"/>
      <c r="F369" s="102"/>
      <c r="G369" s="102"/>
      <c r="H369" s="102"/>
      <c r="I369" s="102"/>
      <c r="J369" s="102"/>
      <c r="K369" s="104"/>
      <c r="L369" s="63" t="str">
        <f t="shared" ca="1" si="9"/>
        <v/>
      </c>
      <c r="M369" s="104"/>
      <c r="N369" s="105"/>
      <c r="O369" s="104"/>
      <c r="P369" s="102"/>
      <c r="Q369" s="111"/>
      <c r="R369" s="118"/>
      <c r="S369" s="107"/>
      <c r="T369" s="102"/>
      <c r="U369" s="102"/>
      <c r="V369" s="102"/>
      <c r="W369" s="105"/>
      <c r="X369" s="105"/>
      <c r="Y369" s="105"/>
      <c r="Z369" s="105"/>
      <c r="AA369" s="105"/>
      <c r="AB369" s="105"/>
      <c r="AC369" s="109"/>
      <c r="AD369" s="107"/>
      <c r="AE369" s="102"/>
      <c r="AF369" s="109"/>
      <c r="AG369" s="107"/>
      <c r="AH369" s="111"/>
      <c r="AI369" s="111"/>
      <c r="AJ369" s="131" t="str">
        <f t="shared" ca="1" si="10"/>
        <v/>
      </c>
      <c r="AK369" s="102"/>
      <c r="AL369" s="102"/>
      <c r="AM369" s="105"/>
      <c r="AN369" s="105"/>
      <c r="AO369" s="105"/>
      <c r="AP369" s="109"/>
      <c r="AQ369" s="112"/>
      <c r="AR369" s="102"/>
      <c r="AS369" s="102"/>
      <c r="AT369" s="113"/>
      <c r="AU369" s="108"/>
      <c r="AV369" s="107"/>
      <c r="AW369" s="109"/>
      <c r="AX369" s="115">
        <f t="shared" si="11"/>
        <v>1900</v>
      </c>
      <c r="AY369" s="115">
        <f t="shared" si="12"/>
        <v>1900</v>
      </c>
    </row>
    <row r="370" spans="1:51" ht="22.5" customHeight="1">
      <c r="A370" s="102"/>
      <c r="B370" s="102"/>
      <c r="C370" s="102"/>
      <c r="D370" s="102"/>
      <c r="E370" s="102"/>
      <c r="F370" s="102"/>
      <c r="G370" s="102"/>
      <c r="H370" s="102"/>
      <c r="I370" s="102"/>
      <c r="J370" s="102"/>
      <c r="K370" s="104"/>
      <c r="L370" s="63" t="str">
        <f t="shared" ca="1" si="9"/>
        <v/>
      </c>
      <c r="M370" s="104"/>
      <c r="N370" s="105"/>
      <c r="O370" s="104"/>
      <c r="P370" s="102"/>
      <c r="Q370" s="111"/>
      <c r="R370" s="118"/>
      <c r="S370" s="107"/>
      <c r="T370" s="102"/>
      <c r="U370" s="102"/>
      <c r="V370" s="102"/>
      <c r="W370" s="105"/>
      <c r="X370" s="105"/>
      <c r="Y370" s="105"/>
      <c r="Z370" s="105"/>
      <c r="AA370" s="105"/>
      <c r="AB370" s="105"/>
      <c r="AC370" s="109"/>
      <c r="AD370" s="107"/>
      <c r="AE370" s="102"/>
      <c r="AF370" s="109"/>
      <c r="AG370" s="107"/>
      <c r="AH370" s="111"/>
      <c r="AI370" s="111"/>
      <c r="AJ370" s="131" t="str">
        <f t="shared" ca="1" si="10"/>
        <v/>
      </c>
      <c r="AK370" s="102"/>
      <c r="AL370" s="102"/>
      <c r="AM370" s="105"/>
      <c r="AN370" s="105"/>
      <c r="AO370" s="105"/>
      <c r="AP370" s="109"/>
      <c r="AQ370" s="112"/>
      <c r="AR370" s="102"/>
      <c r="AS370" s="102"/>
      <c r="AT370" s="113"/>
      <c r="AU370" s="108"/>
      <c r="AV370" s="107"/>
      <c r="AW370" s="109"/>
      <c r="AX370" s="115">
        <f t="shared" si="11"/>
        <v>1900</v>
      </c>
      <c r="AY370" s="115">
        <f t="shared" si="12"/>
        <v>1900</v>
      </c>
    </row>
    <row r="371" spans="1:51" ht="22.5" customHeight="1">
      <c r="A371" s="102"/>
      <c r="B371" s="102"/>
      <c r="C371" s="102"/>
      <c r="D371" s="102"/>
      <c r="E371" s="102"/>
      <c r="F371" s="102"/>
      <c r="G371" s="102"/>
      <c r="H371" s="102"/>
      <c r="I371" s="102"/>
      <c r="J371" s="102"/>
      <c r="K371" s="104"/>
      <c r="L371" s="63" t="str">
        <f t="shared" ca="1" si="9"/>
        <v/>
      </c>
      <c r="M371" s="104"/>
      <c r="N371" s="105"/>
      <c r="O371" s="104"/>
      <c r="P371" s="102"/>
      <c r="Q371" s="111"/>
      <c r="R371" s="118"/>
      <c r="S371" s="107"/>
      <c r="T371" s="102"/>
      <c r="U371" s="102"/>
      <c r="V371" s="102"/>
      <c r="W371" s="105"/>
      <c r="X371" s="105"/>
      <c r="Y371" s="105"/>
      <c r="Z371" s="105"/>
      <c r="AA371" s="105"/>
      <c r="AB371" s="105"/>
      <c r="AC371" s="109"/>
      <c r="AD371" s="107"/>
      <c r="AE371" s="102"/>
      <c r="AF371" s="109"/>
      <c r="AG371" s="107"/>
      <c r="AH371" s="111"/>
      <c r="AI371" s="111"/>
      <c r="AJ371" s="131" t="str">
        <f t="shared" ca="1" si="10"/>
        <v/>
      </c>
      <c r="AK371" s="102"/>
      <c r="AL371" s="102"/>
      <c r="AM371" s="105"/>
      <c r="AN371" s="105"/>
      <c r="AO371" s="105"/>
      <c r="AP371" s="109"/>
      <c r="AQ371" s="112"/>
      <c r="AR371" s="102"/>
      <c r="AS371" s="102"/>
      <c r="AT371" s="113"/>
      <c r="AU371" s="108"/>
      <c r="AV371" s="107"/>
      <c r="AW371" s="109"/>
      <c r="AX371" s="115">
        <f t="shared" si="11"/>
        <v>1900</v>
      </c>
      <c r="AY371" s="115">
        <f t="shared" si="12"/>
        <v>1900</v>
      </c>
    </row>
    <row r="372" spans="1:51" ht="22.5" customHeight="1">
      <c r="A372" s="102"/>
      <c r="B372" s="102"/>
      <c r="C372" s="102"/>
      <c r="D372" s="102"/>
      <c r="E372" s="102"/>
      <c r="F372" s="102"/>
      <c r="G372" s="102"/>
      <c r="H372" s="102"/>
      <c r="I372" s="102"/>
      <c r="J372" s="102"/>
      <c r="K372" s="104"/>
      <c r="L372" s="63" t="str">
        <f t="shared" ca="1" si="9"/>
        <v/>
      </c>
      <c r="M372" s="104"/>
      <c r="N372" s="105"/>
      <c r="O372" s="104"/>
      <c r="P372" s="102"/>
      <c r="Q372" s="111"/>
      <c r="R372" s="118"/>
      <c r="S372" s="107"/>
      <c r="T372" s="102"/>
      <c r="U372" s="102"/>
      <c r="V372" s="102"/>
      <c r="W372" s="105"/>
      <c r="X372" s="105"/>
      <c r="Y372" s="105"/>
      <c r="Z372" s="105"/>
      <c r="AA372" s="105"/>
      <c r="AB372" s="105"/>
      <c r="AC372" s="109"/>
      <c r="AD372" s="107"/>
      <c r="AE372" s="102"/>
      <c r="AF372" s="109"/>
      <c r="AG372" s="107"/>
      <c r="AH372" s="111"/>
      <c r="AI372" s="111"/>
      <c r="AJ372" s="131" t="str">
        <f t="shared" ca="1" si="10"/>
        <v/>
      </c>
      <c r="AK372" s="102"/>
      <c r="AL372" s="102"/>
      <c r="AM372" s="105"/>
      <c r="AN372" s="105"/>
      <c r="AO372" s="105"/>
      <c r="AP372" s="109"/>
      <c r="AQ372" s="112"/>
      <c r="AR372" s="102"/>
      <c r="AS372" s="102"/>
      <c r="AT372" s="113"/>
      <c r="AU372" s="108"/>
      <c r="AV372" s="107"/>
      <c r="AW372" s="109"/>
      <c r="AX372" s="115">
        <f t="shared" si="11"/>
        <v>1900</v>
      </c>
      <c r="AY372" s="115">
        <f t="shared" si="12"/>
        <v>1900</v>
      </c>
    </row>
    <row r="373" spans="1:51" ht="22.5" customHeight="1">
      <c r="A373" s="102"/>
      <c r="B373" s="102"/>
      <c r="C373" s="102"/>
      <c r="D373" s="102"/>
      <c r="E373" s="102"/>
      <c r="F373" s="102"/>
      <c r="G373" s="102"/>
      <c r="H373" s="102"/>
      <c r="I373" s="102"/>
      <c r="J373" s="102"/>
      <c r="K373" s="104"/>
      <c r="L373" s="63" t="str">
        <f t="shared" ca="1" si="9"/>
        <v/>
      </c>
      <c r="M373" s="104"/>
      <c r="N373" s="105"/>
      <c r="O373" s="104"/>
      <c r="P373" s="102"/>
      <c r="Q373" s="111"/>
      <c r="R373" s="118"/>
      <c r="S373" s="107"/>
      <c r="T373" s="102"/>
      <c r="U373" s="102"/>
      <c r="V373" s="102"/>
      <c r="W373" s="105"/>
      <c r="X373" s="105"/>
      <c r="Y373" s="105"/>
      <c r="Z373" s="105"/>
      <c r="AA373" s="105"/>
      <c r="AB373" s="105"/>
      <c r="AC373" s="109"/>
      <c r="AD373" s="107"/>
      <c r="AE373" s="102"/>
      <c r="AF373" s="109"/>
      <c r="AG373" s="107"/>
      <c r="AH373" s="111"/>
      <c r="AI373" s="111"/>
      <c r="AJ373" s="131" t="str">
        <f t="shared" ca="1" si="10"/>
        <v/>
      </c>
      <c r="AK373" s="102"/>
      <c r="AL373" s="102"/>
      <c r="AM373" s="105"/>
      <c r="AN373" s="105"/>
      <c r="AO373" s="105"/>
      <c r="AP373" s="109"/>
      <c r="AQ373" s="112"/>
      <c r="AR373" s="102"/>
      <c r="AS373" s="102"/>
      <c r="AT373" s="113"/>
      <c r="AU373" s="108"/>
      <c r="AV373" s="107"/>
      <c r="AW373" s="109"/>
      <c r="AX373" s="115">
        <f t="shared" si="11"/>
        <v>1900</v>
      </c>
      <c r="AY373" s="115">
        <f t="shared" si="12"/>
        <v>1900</v>
      </c>
    </row>
    <row r="374" spans="1:51" ht="22.5" customHeight="1">
      <c r="A374" s="102"/>
      <c r="B374" s="102"/>
      <c r="C374" s="102"/>
      <c r="D374" s="102"/>
      <c r="E374" s="102"/>
      <c r="F374" s="102"/>
      <c r="G374" s="102"/>
      <c r="H374" s="102"/>
      <c r="I374" s="102"/>
      <c r="J374" s="102"/>
      <c r="K374" s="104"/>
      <c r="L374" s="63" t="str">
        <f t="shared" ca="1" si="9"/>
        <v/>
      </c>
      <c r="M374" s="104"/>
      <c r="N374" s="105"/>
      <c r="O374" s="104"/>
      <c r="P374" s="102"/>
      <c r="Q374" s="111"/>
      <c r="R374" s="118"/>
      <c r="S374" s="107"/>
      <c r="T374" s="102"/>
      <c r="U374" s="102"/>
      <c r="V374" s="102"/>
      <c r="W374" s="105"/>
      <c r="X374" s="105"/>
      <c r="Y374" s="105"/>
      <c r="Z374" s="105"/>
      <c r="AA374" s="105"/>
      <c r="AB374" s="105"/>
      <c r="AC374" s="109"/>
      <c r="AD374" s="107"/>
      <c r="AE374" s="102"/>
      <c r="AF374" s="109"/>
      <c r="AG374" s="107"/>
      <c r="AH374" s="111"/>
      <c r="AI374" s="111"/>
      <c r="AJ374" s="131" t="str">
        <f t="shared" ca="1" si="10"/>
        <v/>
      </c>
      <c r="AK374" s="102"/>
      <c r="AL374" s="102"/>
      <c r="AM374" s="105"/>
      <c r="AN374" s="105"/>
      <c r="AO374" s="105"/>
      <c r="AP374" s="109"/>
      <c r="AQ374" s="112"/>
      <c r="AR374" s="102"/>
      <c r="AS374" s="102"/>
      <c r="AT374" s="113"/>
      <c r="AU374" s="108"/>
      <c r="AV374" s="107"/>
      <c r="AW374" s="109"/>
      <c r="AX374" s="115">
        <f t="shared" si="11"/>
        <v>1900</v>
      </c>
      <c r="AY374" s="115">
        <f t="shared" si="12"/>
        <v>1900</v>
      </c>
    </row>
    <row r="375" spans="1:51" ht="22.5" customHeight="1">
      <c r="A375" s="102"/>
      <c r="B375" s="102"/>
      <c r="C375" s="102"/>
      <c r="D375" s="102"/>
      <c r="E375" s="102"/>
      <c r="F375" s="102"/>
      <c r="G375" s="102"/>
      <c r="H375" s="102"/>
      <c r="I375" s="102"/>
      <c r="J375" s="102"/>
      <c r="K375" s="104"/>
      <c r="L375" s="63" t="str">
        <f t="shared" ca="1" si="9"/>
        <v/>
      </c>
      <c r="M375" s="104"/>
      <c r="N375" s="105"/>
      <c r="O375" s="104"/>
      <c r="P375" s="102"/>
      <c r="Q375" s="111"/>
      <c r="R375" s="118"/>
      <c r="S375" s="107"/>
      <c r="T375" s="102"/>
      <c r="U375" s="102"/>
      <c r="V375" s="102"/>
      <c r="W375" s="105"/>
      <c r="X375" s="105"/>
      <c r="Y375" s="105"/>
      <c r="Z375" s="105"/>
      <c r="AA375" s="105"/>
      <c r="AB375" s="105"/>
      <c r="AC375" s="109"/>
      <c r="AD375" s="107"/>
      <c r="AE375" s="102"/>
      <c r="AF375" s="109"/>
      <c r="AG375" s="107"/>
      <c r="AH375" s="111"/>
      <c r="AI375" s="111"/>
      <c r="AJ375" s="131" t="str">
        <f t="shared" ca="1" si="10"/>
        <v/>
      </c>
      <c r="AK375" s="102"/>
      <c r="AL375" s="102"/>
      <c r="AM375" s="105"/>
      <c r="AN375" s="105"/>
      <c r="AO375" s="105"/>
      <c r="AP375" s="109"/>
      <c r="AQ375" s="112"/>
      <c r="AR375" s="102"/>
      <c r="AS375" s="102"/>
      <c r="AT375" s="113"/>
      <c r="AU375" s="108"/>
      <c r="AV375" s="107"/>
      <c r="AW375" s="109"/>
      <c r="AX375" s="115">
        <f t="shared" si="11"/>
        <v>1900</v>
      </c>
      <c r="AY375" s="115">
        <f t="shared" si="12"/>
        <v>1900</v>
      </c>
    </row>
    <row r="376" spans="1:51" ht="22.5" customHeight="1">
      <c r="A376" s="102"/>
      <c r="B376" s="102"/>
      <c r="C376" s="102"/>
      <c r="D376" s="102"/>
      <c r="E376" s="102"/>
      <c r="F376" s="102"/>
      <c r="G376" s="102"/>
      <c r="H376" s="102"/>
      <c r="I376" s="102"/>
      <c r="J376" s="102"/>
      <c r="K376" s="104"/>
      <c r="L376" s="63" t="str">
        <f t="shared" ca="1" si="9"/>
        <v/>
      </c>
      <c r="M376" s="104"/>
      <c r="N376" s="105"/>
      <c r="O376" s="104"/>
      <c r="P376" s="102"/>
      <c r="Q376" s="111"/>
      <c r="R376" s="118"/>
      <c r="S376" s="107"/>
      <c r="T376" s="102"/>
      <c r="U376" s="102"/>
      <c r="V376" s="102"/>
      <c r="W376" s="105"/>
      <c r="X376" s="105"/>
      <c r="Y376" s="105"/>
      <c r="Z376" s="105"/>
      <c r="AA376" s="105"/>
      <c r="AB376" s="105"/>
      <c r="AC376" s="109"/>
      <c r="AD376" s="107"/>
      <c r="AE376" s="102"/>
      <c r="AF376" s="109"/>
      <c r="AG376" s="107"/>
      <c r="AH376" s="111"/>
      <c r="AI376" s="111"/>
      <c r="AJ376" s="131" t="str">
        <f t="shared" ca="1" si="10"/>
        <v/>
      </c>
      <c r="AK376" s="102"/>
      <c r="AL376" s="102"/>
      <c r="AM376" s="105"/>
      <c r="AN376" s="105"/>
      <c r="AO376" s="105"/>
      <c r="AP376" s="109"/>
      <c r="AQ376" s="112"/>
      <c r="AR376" s="102"/>
      <c r="AS376" s="102"/>
      <c r="AT376" s="113"/>
      <c r="AU376" s="108"/>
      <c r="AV376" s="107"/>
      <c r="AW376" s="109"/>
      <c r="AX376" s="115">
        <f t="shared" si="11"/>
        <v>1900</v>
      </c>
      <c r="AY376" s="115">
        <f t="shared" si="12"/>
        <v>1900</v>
      </c>
    </row>
    <row r="377" spans="1:51" ht="22.5" customHeight="1">
      <c r="A377" s="102"/>
      <c r="B377" s="102"/>
      <c r="C377" s="102"/>
      <c r="D377" s="102"/>
      <c r="E377" s="102"/>
      <c r="F377" s="102"/>
      <c r="G377" s="102"/>
      <c r="H377" s="102"/>
      <c r="I377" s="102"/>
      <c r="J377" s="102"/>
      <c r="K377" s="104"/>
      <c r="L377" s="63" t="str">
        <f t="shared" ca="1" si="9"/>
        <v/>
      </c>
      <c r="M377" s="104"/>
      <c r="N377" s="105"/>
      <c r="O377" s="104"/>
      <c r="P377" s="102"/>
      <c r="Q377" s="111"/>
      <c r="R377" s="118"/>
      <c r="S377" s="107"/>
      <c r="T377" s="102"/>
      <c r="U377" s="102"/>
      <c r="V377" s="102"/>
      <c r="W377" s="105"/>
      <c r="X377" s="105"/>
      <c r="Y377" s="105"/>
      <c r="Z377" s="105"/>
      <c r="AA377" s="105"/>
      <c r="AB377" s="105"/>
      <c r="AC377" s="109"/>
      <c r="AD377" s="107"/>
      <c r="AE377" s="102"/>
      <c r="AF377" s="109"/>
      <c r="AG377" s="107"/>
      <c r="AH377" s="111"/>
      <c r="AI377" s="111"/>
      <c r="AJ377" s="131" t="str">
        <f t="shared" ca="1" si="10"/>
        <v/>
      </c>
      <c r="AK377" s="102"/>
      <c r="AL377" s="102"/>
      <c r="AM377" s="105"/>
      <c r="AN377" s="105"/>
      <c r="AO377" s="105"/>
      <c r="AP377" s="109"/>
      <c r="AQ377" s="112"/>
      <c r="AR377" s="102"/>
      <c r="AS377" s="102"/>
      <c r="AT377" s="113"/>
      <c r="AU377" s="108"/>
      <c r="AV377" s="107"/>
      <c r="AW377" s="109"/>
      <c r="AX377" s="115">
        <f t="shared" si="11"/>
        <v>1900</v>
      </c>
      <c r="AY377" s="115">
        <f t="shared" si="12"/>
        <v>1900</v>
      </c>
    </row>
    <row r="378" spans="1:51" ht="22.5" customHeight="1">
      <c r="A378" s="102"/>
      <c r="B378" s="102"/>
      <c r="C378" s="102"/>
      <c r="D378" s="102"/>
      <c r="E378" s="102"/>
      <c r="F378" s="102"/>
      <c r="G378" s="102"/>
      <c r="H378" s="102"/>
      <c r="I378" s="102"/>
      <c r="J378" s="102"/>
      <c r="K378" s="104"/>
      <c r="L378" s="63" t="str">
        <f t="shared" ca="1" si="9"/>
        <v/>
      </c>
      <c r="M378" s="104"/>
      <c r="N378" s="105"/>
      <c r="O378" s="104"/>
      <c r="P378" s="102"/>
      <c r="Q378" s="111"/>
      <c r="R378" s="118"/>
      <c r="S378" s="107"/>
      <c r="T378" s="102"/>
      <c r="U378" s="102"/>
      <c r="V378" s="102"/>
      <c r="W378" s="105"/>
      <c r="X378" s="105"/>
      <c r="Y378" s="105"/>
      <c r="Z378" s="105"/>
      <c r="AA378" s="105"/>
      <c r="AB378" s="105"/>
      <c r="AC378" s="109"/>
      <c r="AD378" s="107"/>
      <c r="AE378" s="102"/>
      <c r="AF378" s="109"/>
      <c r="AG378" s="107"/>
      <c r="AH378" s="111"/>
      <c r="AI378" s="111"/>
      <c r="AJ378" s="131" t="str">
        <f t="shared" ca="1" si="10"/>
        <v/>
      </c>
      <c r="AK378" s="102"/>
      <c r="AL378" s="102"/>
      <c r="AM378" s="105"/>
      <c r="AN378" s="105"/>
      <c r="AO378" s="105"/>
      <c r="AP378" s="109"/>
      <c r="AQ378" s="112"/>
      <c r="AR378" s="102"/>
      <c r="AS378" s="102"/>
      <c r="AT378" s="113"/>
      <c r="AU378" s="108"/>
      <c r="AV378" s="107"/>
      <c r="AW378" s="109"/>
      <c r="AX378" s="115">
        <f t="shared" si="11"/>
        <v>1900</v>
      </c>
      <c r="AY378" s="115">
        <f t="shared" si="12"/>
        <v>1900</v>
      </c>
    </row>
    <row r="379" spans="1:51" ht="22.5" customHeight="1">
      <c r="A379" s="102"/>
      <c r="B379" s="102"/>
      <c r="C379" s="102"/>
      <c r="D379" s="102"/>
      <c r="E379" s="102"/>
      <c r="F379" s="102"/>
      <c r="G379" s="102"/>
      <c r="H379" s="102"/>
      <c r="I379" s="102"/>
      <c r="J379" s="102"/>
      <c r="K379" s="104"/>
      <c r="L379" s="63" t="str">
        <f t="shared" ca="1" si="9"/>
        <v/>
      </c>
      <c r="M379" s="104"/>
      <c r="N379" s="105"/>
      <c r="O379" s="104"/>
      <c r="P379" s="102"/>
      <c r="Q379" s="111"/>
      <c r="R379" s="118"/>
      <c r="S379" s="107"/>
      <c r="T379" s="102"/>
      <c r="U379" s="102"/>
      <c r="V379" s="102"/>
      <c r="W379" s="105"/>
      <c r="X379" s="105"/>
      <c r="Y379" s="105"/>
      <c r="Z379" s="105"/>
      <c r="AA379" s="105"/>
      <c r="AB379" s="105"/>
      <c r="AC379" s="109"/>
      <c r="AD379" s="107"/>
      <c r="AE379" s="102"/>
      <c r="AF379" s="109"/>
      <c r="AG379" s="107"/>
      <c r="AH379" s="111"/>
      <c r="AI379" s="111"/>
      <c r="AJ379" s="131" t="str">
        <f t="shared" ca="1" si="10"/>
        <v/>
      </c>
      <c r="AK379" s="102"/>
      <c r="AL379" s="102"/>
      <c r="AM379" s="105"/>
      <c r="AN379" s="105"/>
      <c r="AO379" s="105"/>
      <c r="AP379" s="109"/>
      <c r="AQ379" s="112"/>
      <c r="AR379" s="102"/>
      <c r="AS379" s="102"/>
      <c r="AT379" s="113"/>
      <c r="AU379" s="108"/>
      <c r="AV379" s="107"/>
      <c r="AW379" s="109"/>
      <c r="AX379" s="115">
        <f t="shared" si="11"/>
        <v>1900</v>
      </c>
      <c r="AY379" s="115">
        <f t="shared" si="12"/>
        <v>1900</v>
      </c>
    </row>
    <row r="380" spans="1:51" ht="22.5" customHeight="1">
      <c r="A380" s="102"/>
      <c r="B380" s="102"/>
      <c r="C380" s="102"/>
      <c r="D380" s="102"/>
      <c r="E380" s="102"/>
      <c r="F380" s="102"/>
      <c r="G380" s="102"/>
      <c r="H380" s="102"/>
      <c r="I380" s="102"/>
      <c r="J380" s="102"/>
      <c r="K380" s="104"/>
      <c r="L380" s="63" t="str">
        <f t="shared" ca="1" si="9"/>
        <v/>
      </c>
      <c r="M380" s="104"/>
      <c r="N380" s="105"/>
      <c r="O380" s="104"/>
      <c r="P380" s="102"/>
      <c r="Q380" s="111"/>
      <c r="R380" s="118"/>
      <c r="S380" s="107"/>
      <c r="T380" s="102"/>
      <c r="U380" s="102"/>
      <c r="V380" s="102"/>
      <c r="W380" s="105"/>
      <c r="X380" s="105"/>
      <c r="Y380" s="105"/>
      <c r="Z380" s="105"/>
      <c r="AA380" s="105"/>
      <c r="AB380" s="105"/>
      <c r="AC380" s="109"/>
      <c r="AD380" s="107"/>
      <c r="AE380" s="102"/>
      <c r="AF380" s="109"/>
      <c r="AG380" s="107"/>
      <c r="AH380" s="111"/>
      <c r="AI380" s="111"/>
      <c r="AJ380" s="131" t="str">
        <f t="shared" ca="1" si="10"/>
        <v/>
      </c>
      <c r="AK380" s="102"/>
      <c r="AL380" s="102"/>
      <c r="AM380" s="105"/>
      <c r="AN380" s="105"/>
      <c r="AO380" s="105"/>
      <c r="AP380" s="109"/>
      <c r="AQ380" s="112"/>
      <c r="AR380" s="102"/>
      <c r="AS380" s="102"/>
      <c r="AT380" s="113"/>
      <c r="AU380" s="108"/>
      <c r="AV380" s="107"/>
      <c r="AW380" s="109"/>
      <c r="AX380" s="115">
        <f t="shared" si="11"/>
        <v>1900</v>
      </c>
      <c r="AY380" s="115">
        <f t="shared" si="12"/>
        <v>1900</v>
      </c>
    </row>
    <row r="381" spans="1:51" ht="22.5" customHeight="1">
      <c r="A381" s="102"/>
      <c r="B381" s="102"/>
      <c r="C381" s="102"/>
      <c r="D381" s="102"/>
      <c r="E381" s="102"/>
      <c r="F381" s="102"/>
      <c r="G381" s="102"/>
      <c r="H381" s="102"/>
      <c r="I381" s="102"/>
      <c r="J381" s="102"/>
      <c r="K381" s="104"/>
      <c r="L381" s="63" t="str">
        <f t="shared" ca="1" si="9"/>
        <v/>
      </c>
      <c r="M381" s="104"/>
      <c r="N381" s="105"/>
      <c r="O381" s="104"/>
      <c r="P381" s="102"/>
      <c r="Q381" s="111"/>
      <c r="R381" s="118"/>
      <c r="S381" s="107"/>
      <c r="T381" s="102"/>
      <c r="U381" s="102"/>
      <c r="V381" s="102"/>
      <c r="W381" s="105"/>
      <c r="X381" s="105"/>
      <c r="Y381" s="105"/>
      <c r="Z381" s="105"/>
      <c r="AA381" s="105"/>
      <c r="AB381" s="105"/>
      <c r="AC381" s="109"/>
      <c r="AD381" s="107"/>
      <c r="AE381" s="102"/>
      <c r="AF381" s="109"/>
      <c r="AG381" s="107"/>
      <c r="AH381" s="111"/>
      <c r="AI381" s="111"/>
      <c r="AJ381" s="131" t="str">
        <f t="shared" ca="1" si="10"/>
        <v/>
      </c>
      <c r="AK381" s="102"/>
      <c r="AL381" s="102"/>
      <c r="AM381" s="105"/>
      <c r="AN381" s="105"/>
      <c r="AO381" s="105"/>
      <c r="AP381" s="109"/>
      <c r="AQ381" s="112"/>
      <c r="AR381" s="102"/>
      <c r="AS381" s="102"/>
      <c r="AT381" s="113"/>
      <c r="AU381" s="108"/>
      <c r="AV381" s="107"/>
      <c r="AW381" s="109"/>
      <c r="AX381" s="115">
        <f t="shared" si="11"/>
        <v>1900</v>
      </c>
      <c r="AY381" s="115">
        <f t="shared" si="12"/>
        <v>1900</v>
      </c>
    </row>
    <row r="382" spans="1:51" ht="22.5" customHeight="1">
      <c r="A382" s="102"/>
      <c r="B382" s="102"/>
      <c r="C382" s="102"/>
      <c r="D382" s="102"/>
      <c r="E382" s="102"/>
      <c r="F382" s="102"/>
      <c r="G382" s="102"/>
      <c r="H382" s="102"/>
      <c r="I382" s="102"/>
      <c r="J382" s="102"/>
      <c r="K382" s="104"/>
      <c r="L382" s="63" t="str">
        <f t="shared" ca="1" si="9"/>
        <v/>
      </c>
      <c r="M382" s="104"/>
      <c r="N382" s="105"/>
      <c r="O382" s="104"/>
      <c r="P382" s="102"/>
      <c r="Q382" s="111"/>
      <c r="R382" s="118"/>
      <c r="S382" s="107"/>
      <c r="T382" s="102"/>
      <c r="U382" s="102"/>
      <c r="V382" s="102"/>
      <c r="W382" s="105"/>
      <c r="X382" s="105"/>
      <c r="Y382" s="105"/>
      <c r="Z382" s="105"/>
      <c r="AA382" s="105"/>
      <c r="AB382" s="105"/>
      <c r="AC382" s="109"/>
      <c r="AD382" s="107"/>
      <c r="AE382" s="102"/>
      <c r="AF382" s="109"/>
      <c r="AG382" s="107"/>
      <c r="AH382" s="111"/>
      <c r="AI382" s="111"/>
      <c r="AJ382" s="131" t="str">
        <f t="shared" ca="1" si="10"/>
        <v/>
      </c>
      <c r="AK382" s="102"/>
      <c r="AL382" s="102"/>
      <c r="AM382" s="105"/>
      <c r="AN382" s="105"/>
      <c r="AO382" s="105"/>
      <c r="AP382" s="109"/>
      <c r="AQ382" s="112"/>
      <c r="AR382" s="102"/>
      <c r="AS382" s="102"/>
      <c r="AT382" s="113"/>
      <c r="AU382" s="108"/>
      <c r="AV382" s="107"/>
      <c r="AW382" s="109"/>
      <c r="AX382" s="115">
        <f t="shared" si="11"/>
        <v>1900</v>
      </c>
      <c r="AY382" s="115">
        <f t="shared" si="12"/>
        <v>1900</v>
      </c>
    </row>
    <row r="383" spans="1:51" ht="22.5" customHeight="1">
      <c r="A383" s="102"/>
      <c r="B383" s="102"/>
      <c r="C383" s="102"/>
      <c r="D383" s="102"/>
      <c r="E383" s="102"/>
      <c r="F383" s="102"/>
      <c r="G383" s="102"/>
      <c r="H383" s="102"/>
      <c r="I383" s="102"/>
      <c r="J383" s="102"/>
      <c r="K383" s="104"/>
      <c r="L383" s="63" t="str">
        <f t="shared" ca="1" si="9"/>
        <v/>
      </c>
      <c r="M383" s="104"/>
      <c r="N383" s="105"/>
      <c r="O383" s="104"/>
      <c r="P383" s="102"/>
      <c r="Q383" s="111"/>
      <c r="R383" s="118"/>
      <c r="S383" s="107"/>
      <c r="T383" s="102"/>
      <c r="U383" s="102"/>
      <c r="V383" s="102"/>
      <c r="W383" s="105"/>
      <c r="X383" s="105"/>
      <c r="Y383" s="105"/>
      <c r="Z383" s="105"/>
      <c r="AA383" s="105"/>
      <c r="AB383" s="105"/>
      <c r="AC383" s="109"/>
      <c r="AD383" s="107"/>
      <c r="AE383" s="102"/>
      <c r="AF383" s="109"/>
      <c r="AG383" s="107"/>
      <c r="AH383" s="111"/>
      <c r="AI383" s="111"/>
      <c r="AJ383" s="131" t="str">
        <f t="shared" ca="1" si="10"/>
        <v/>
      </c>
      <c r="AK383" s="102"/>
      <c r="AL383" s="102"/>
      <c r="AM383" s="105"/>
      <c r="AN383" s="105"/>
      <c r="AO383" s="105"/>
      <c r="AP383" s="109"/>
      <c r="AQ383" s="112"/>
      <c r="AR383" s="102"/>
      <c r="AS383" s="102"/>
      <c r="AT383" s="113"/>
      <c r="AU383" s="108"/>
      <c r="AV383" s="107"/>
      <c r="AW383" s="109"/>
      <c r="AX383" s="115">
        <f t="shared" si="11"/>
        <v>1900</v>
      </c>
      <c r="AY383" s="115">
        <f t="shared" si="12"/>
        <v>1900</v>
      </c>
    </row>
    <row r="384" spans="1:51" ht="22.5" customHeight="1">
      <c r="A384" s="102"/>
      <c r="B384" s="102"/>
      <c r="C384" s="102"/>
      <c r="D384" s="102"/>
      <c r="E384" s="102"/>
      <c r="F384" s="102"/>
      <c r="G384" s="102"/>
      <c r="H384" s="102"/>
      <c r="I384" s="102"/>
      <c r="J384" s="102"/>
      <c r="K384" s="104"/>
      <c r="L384" s="63" t="str">
        <f t="shared" ca="1" si="9"/>
        <v/>
      </c>
      <c r="M384" s="104"/>
      <c r="N384" s="105"/>
      <c r="O384" s="104"/>
      <c r="P384" s="102"/>
      <c r="Q384" s="111"/>
      <c r="R384" s="118"/>
      <c r="S384" s="107"/>
      <c r="T384" s="102"/>
      <c r="U384" s="102"/>
      <c r="V384" s="102"/>
      <c r="W384" s="105"/>
      <c r="X384" s="105"/>
      <c r="Y384" s="105"/>
      <c r="Z384" s="105"/>
      <c r="AA384" s="105"/>
      <c r="AB384" s="105"/>
      <c r="AC384" s="109"/>
      <c r="AD384" s="107"/>
      <c r="AE384" s="102"/>
      <c r="AF384" s="109"/>
      <c r="AG384" s="107"/>
      <c r="AH384" s="111"/>
      <c r="AI384" s="111"/>
      <c r="AJ384" s="131" t="str">
        <f t="shared" ca="1" si="10"/>
        <v/>
      </c>
      <c r="AK384" s="102"/>
      <c r="AL384" s="102"/>
      <c r="AM384" s="105"/>
      <c r="AN384" s="105"/>
      <c r="AO384" s="105"/>
      <c r="AP384" s="109"/>
      <c r="AQ384" s="112"/>
      <c r="AR384" s="102"/>
      <c r="AS384" s="102"/>
      <c r="AT384" s="113"/>
      <c r="AU384" s="108"/>
      <c r="AV384" s="107"/>
      <c r="AW384" s="109"/>
      <c r="AX384" s="115">
        <f t="shared" si="11"/>
        <v>1900</v>
      </c>
      <c r="AY384" s="115">
        <f t="shared" si="12"/>
        <v>1900</v>
      </c>
    </row>
    <row r="385" spans="1:51" ht="22.5" customHeight="1">
      <c r="A385" s="102"/>
      <c r="B385" s="102"/>
      <c r="C385" s="102"/>
      <c r="D385" s="102"/>
      <c r="E385" s="102"/>
      <c r="F385" s="102"/>
      <c r="G385" s="102"/>
      <c r="H385" s="102"/>
      <c r="I385" s="102"/>
      <c r="J385" s="102"/>
      <c r="K385" s="104"/>
      <c r="L385" s="63" t="str">
        <f t="shared" ca="1" si="9"/>
        <v/>
      </c>
      <c r="M385" s="104"/>
      <c r="N385" s="105"/>
      <c r="O385" s="104"/>
      <c r="P385" s="102"/>
      <c r="Q385" s="111"/>
      <c r="R385" s="118"/>
      <c r="S385" s="107"/>
      <c r="T385" s="102"/>
      <c r="U385" s="102"/>
      <c r="V385" s="102"/>
      <c r="W385" s="105"/>
      <c r="X385" s="105"/>
      <c r="Y385" s="105"/>
      <c r="Z385" s="105"/>
      <c r="AA385" s="105"/>
      <c r="AB385" s="105"/>
      <c r="AC385" s="109"/>
      <c r="AD385" s="107"/>
      <c r="AE385" s="102"/>
      <c r="AF385" s="109"/>
      <c r="AG385" s="107"/>
      <c r="AH385" s="111"/>
      <c r="AI385" s="111"/>
      <c r="AJ385" s="131" t="str">
        <f t="shared" ca="1" si="10"/>
        <v/>
      </c>
      <c r="AK385" s="102"/>
      <c r="AL385" s="102"/>
      <c r="AM385" s="105"/>
      <c r="AN385" s="105"/>
      <c r="AO385" s="105"/>
      <c r="AP385" s="109"/>
      <c r="AQ385" s="112"/>
      <c r="AR385" s="102"/>
      <c r="AS385" s="102"/>
      <c r="AT385" s="113"/>
      <c r="AU385" s="108"/>
      <c r="AV385" s="107"/>
      <c r="AW385" s="109"/>
      <c r="AX385" s="115">
        <f t="shared" si="11"/>
        <v>1900</v>
      </c>
      <c r="AY385" s="115">
        <f t="shared" si="12"/>
        <v>1900</v>
      </c>
    </row>
    <row r="386" spans="1:51" ht="22.5" customHeight="1">
      <c r="A386" s="102"/>
      <c r="B386" s="102"/>
      <c r="C386" s="102"/>
      <c r="D386" s="102"/>
      <c r="E386" s="102"/>
      <c r="F386" s="102"/>
      <c r="G386" s="102"/>
      <c r="H386" s="102"/>
      <c r="I386" s="102"/>
      <c r="J386" s="102"/>
      <c r="K386" s="104"/>
      <c r="L386" s="63" t="str">
        <f t="shared" ca="1" si="9"/>
        <v/>
      </c>
      <c r="M386" s="104"/>
      <c r="N386" s="105"/>
      <c r="O386" s="104"/>
      <c r="P386" s="102"/>
      <c r="Q386" s="111"/>
      <c r="R386" s="118"/>
      <c r="S386" s="107"/>
      <c r="T386" s="102"/>
      <c r="U386" s="102"/>
      <c r="V386" s="102"/>
      <c r="W386" s="105"/>
      <c r="X386" s="105"/>
      <c r="Y386" s="105"/>
      <c r="Z386" s="105"/>
      <c r="AA386" s="105"/>
      <c r="AB386" s="105"/>
      <c r="AC386" s="109"/>
      <c r="AD386" s="107"/>
      <c r="AE386" s="102"/>
      <c r="AF386" s="109"/>
      <c r="AG386" s="107"/>
      <c r="AH386" s="111"/>
      <c r="AI386" s="111"/>
      <c r="AJ386" s="131" t="str">
        <f t="shared" ca="1" si="10"/>
        <v/>
      </c>
      <c r="AK386" s="102"/>
      <c r="AL386" s="102"/>
      <c r="AM386" s="105"/>
      <c r="AN386" s="105"/>
      <c r="AO386" s="105"/>
      <c r="AP386" s="109"/>
      <c r="AQ386" s="112"/>
      <c r="AR386" s="102"/>
      <c r="AS386" s="102"/>
      <c r="AT386" s="113"/>
      <c r="AU386" s="108"/>
      <c r="AV386" s="107"/>
      <c r="AW386" s="109"/>
      <c r="AX386" s="115">
        <f t="shared" si="11"/>
        <v>1900</v>
      </c>
      <c r="AY386" s="115">
        <f t="shared" si="12"/>
        <v>1900</v>
      </c>
    </row>
    <row r="387" spans="1:51" ht="22.5" customHeight="1">
      <c r="A387" s="102"/>
      <c r="B387" s="102"/>
      <c r="C387" s="102"/>
      <c r="D387" s="102"/>
      <c r="E387" s="102"/>
      <c r="F387" s="102"/>
      <c r="G387" s="102"/>
      <c r="H387" s="102"/>
      <c r="I387" s="102"/>
      <c r="J387" s="102"/>
      <c r="K387" s="104"/>
      <c r="L387" s="63" t="str">
        <f t="shared" ca="1" si="9"/>
        <v/>
      </c>
      <c r="M387" s="104"/>
      <c r="N387" s="105"/>
      <c r="O387" s="104"/>
      <c r="P387" s="102"/>
      <c r="Q387" s="111"/>
      <c r="R387" s="118"/>
      <c r="S387" s="107"/>
      <c r="T387" s="102"/>
      <c r="U387" s="102"/>
      <c r="V387" s="102"/>
      <c r="W387" s="105"/>
      <c r="X387" s="105"/>
      <c r="Y387" s="105"/>
      <c r="Z387" s="105"/>
      <c r="AA387" s="105"/>
      <c r="AB387" s="105"/>
      <c r="AC387" s="109"/>
      <c r="AD387" s="107"/>
      <c r="AE387" s="102"/>
      <c r="AF387" s="109"/>
      <c r="AG387" s="107"/>
      <c r="AH387" s="111"/>
      <c r="AI387" s="111"/>
      <c r="AJ387" s="131" t="str">
        <f t="shared" ca="1" si="10"/>
        <v/>
      </c>
      <c r="AK387" s="102"/>
      <c r="AL387" s="102"/>
      <c r="AM387" s="105"/>
      <c r="AN387" s="105"/>
      <c r="AO387" s="105"/>
      <c r="AP387" s="109"/>
      <c r="AQ387" s="112"/>
      <c r="AR387" s="102"/>
      <c r="AS387" s="102"/>
      <c r="AT387" s="113"/>
      <c r="AU387" s="108"/>
      <c r="AV387" s="107"/>
      <c r="AW387" s="109"/>
      <c r="AX387" s="115">
        <f t="shared" si="11"/>
        <v>1900</v>
      </c>
      <c r="AY387" s="115">
        <f t="shared" si="12"/>
        <v>1900</v>
      </c>
    </row>
    <row r="388" spans="1:51" ht="22.5" customHeight="1">
      <c r="A388" s="102"/>
      <c r="B388" s="102"/>
      <c r="C388" s="102"/>
      <c r="D388" s="102"/>
      <c r="E388" s="102"/>
      <c r="F388" s="102"/>
      <c r="G388" s="102"/>
      <c r="H388" s="102"/>
      <c r="I388" s="102"/>
      <c r="J388" s="102"/>
      <c r="K388" s="104"/>
      <c r="L388" s="63" t="str">
        <f t="shared" ca="1" si="9"/>
        <v/>
      </c>
      <c r="M388" s="104"/>
      <c r="N388" s="105"/>
      <c r="O388" s="104"/>
      <c r="P388" s="102"/>
      <c r="Q388" s="111"/>
      <c r="R388" s="118"/>
      <c r="S388" s="107"/>
      <c r="T388" s="102"/>
      <c r="U388" s="102"/>
      <c r="V388" s="102"/>
      <c r="W388" s="105"/>
      <c r="X388" s="105"/>
      <c r="Y388" s="105"/>
      <c r="Z388" s="105"/>
      <c r="AA388" s="105"/>
      <c r="AB388" s="105"/>
      <c r="AC388" s="109"/>
      <c r="AD388" s="107"/>
      <c r="AE388" s="102"/>
      <c r="AF388" s="109"/>
      <c r="AG388" s="107"/>
      <c r="AH388" s="111"/>
      <c r="AI388" s="111"/>
      <c r="AJ388" s="131" t="str">
        <f t="shared" ca="1" si="10"/>
        <v/>
      </c>
      <c r="AK388" s="102"/>
      <c r="AL388" s="102"/>
      <c r="AM388" s="105"/>
      <c r="AN388" s="105"/>
      <c r="AO388" s="105"/>
      <c r="AP388" s="109"/>
      <c r="AQ388" s="112"/>
      <c r="AR388" s="102"/>
      <c r="AS388" s="102"/>
      <c r="AT388" s="113"/>
      <c r="AU388" s="108"/>
      <c r="AV388" s="107"/>
      <c r="AW388" s="109"/>
      <c r="AX388" s="115">
        <f t="shared" si="11"/>
        <v>1900</v>
      </c>
      <c r="AY388" s="115">
        <f t="shared" si="12"/>
        <v>1900</v>
      </c>
    </row>
    <row r="389" spans="1:51" ht="22.5" customHeight="1">
      <c r="A389" s="102"/>
      <c r="B389" s="102"/>
      <c r="C389" s="102"/>
      <c r="D389" s="102"/>
      <c r="E389" s="102"/>
      <c r="F389" s="102"/>
      <c r="G389" s="102"/>
      <c r="H389" s="102"/>
      <c r="I389" s="102"/>
      <c r="J389" s="102"/>
      <c r="K389" s="104"/>
      <c r="L389" s="63" t="str">
        <f t="shared" ca="1" si="9"/>
        <v/>
      </c>
      <c r="M389" s="104"/>
      <c r="N389" s="105"/>
      <c r="O389" s="104"/>
      <c r="P389" s="102"/>
      <c r="Q389" s="111"/>
      <c r="R389" s="118"/>
      <c r="S389" s="107"/>
      <c r="T389" s="102"/>
      <c r="U389" s="102"/>
      <c r="V389" s="102"/>
      <c r="W389" s="105"/>
      <c r="X389" s="105"/>
      <c r="Y389" s="105"/>
      <c r="Z389" s="105"/>
      <c r="AA389" s="105"/>
      <c r="AB389" s="105"/>
      <c r="AC389" s="109"/>
      <c r="AD389" s="107"/>
      <c r="AE389" s="102"/>
      <c r="AF389" s="109"/>
      <c r="AG389" s="107"/>
      <c r="AH389" s="111"/>
      <c r="AI389" s="111"/>
      <c r="AJ389" s="131" t="str">
        <f t="shared" ca="1" si="10"/>
        <v/>
      </c>
      <c r="AK389" s="102"/>
      <c r="AL389" s="102"/>
      <c r="AM389" s="105"/>
      <c r="AN389" s="105"/>
      <c r="AO389" s="105"/>
      <c r="AP389" s="109"/>
      <c r="AQ389" s="112"/>
      <c r="AR389" s="102"/>
      <c r="AS389" s="102"/>
      <c r="AT389" s="113"/>
      <c r="AU389" s="108"/>
      <c r="AV389" s="107"/>
      <c r="AW389" s="109"/>
      <c r="AX389" s="115">
        <f t="shared" si="11"/>
        <v>1900</v>
      </c>
      <c r="AY389" s="115">
        <f t="shared" si="12"/>
        <v>1900</v>
      </c>
    </row>
    <row r="390" spans="1:51" ht="22.5" customHeight="1">
      <c r="A390" s="102"/>
      <c r="B390" s="102"/>
      <c r="C390" s="102"/>
      <c r="D390" s="102"/>
      <c r="E390" s="102"/>
      <c r="F390" s="102"/>
      <c r="G390" s="102"/>
      <c r="H390" s="102"/>
      <c r="I390" s="102"/>
      <c r="J390" s="102"/>
      <c r="K390" s="104"/>
      <c r="L390" s="63" t="str">
        <f t="shared" ca="1" si="9"/>
        <v/>
      </c>
      <c r="M390" s="104"/>
      <c r="N390" s="105"/>
      <c r="O390" s="104"/>
      <c r="P390" s="102"/>
      <c r="Q390" s="111"/>
      <c r="R390" s="118"/>
      <c r="S390" s="107"/>
      <c r="T390" s="102"/>
      <c r="U390" s="102"/>
      <c r="V390" s="102"/>
      <c r="W390" s="105"/>
      <c r="X390" s="105"/>
      <c r="Y390" s="105"/>
      <c r="Z390" s="105"/>
      <c r="AA390" s="105"/>
      <c r="AB390" s="105"/>
      <c r="AC390" s="109"/>
      <c r="AD390" s="107"/>
      <c r="AE390" s="102"/>
      <c r="AF390" s="109"/>
      <c r="AG390" s="107"/>
      <c r="AH390" s="111"/>
      <c r="AI390" s="111"/>
      <c r="AJ390" s="131" t="str">
        <f t="shared" ca="1" si="10"/>
        <v/>
      </c>
      <c r="AK390" s="102"/>
      <c r="AL390" s="102"/>
      <c r="AM390" s="105"/>
      <c r="AN390" s="105"/>
      <c r="AO390" s="105"/>
      <c r="AP390" s="109"/>
      <c r="AQ390" s="112"/>
      <c r="AR390" s="102"/>
      <c r="AS390" s="102"/>
      <c r="AT390" s="113"/>
      <c r="AU390" s="108"/>
      <c r="AV390" s="107"/>
      <c r="AW390" s="109"/>
      <c r="AX390" s="115">
        <f t="shared" si="11"/>
        <v>1900</v>
      </c>
      <c r="AY390" s="115">
        <f t="shared" si="12"/>
        <v>1900</v>
      </c>
    </row>
    <row r="391" spans="1:51" ht="22.5" customHeight="1">
      <c r="A391" s="102"/>
      <c r="B391" s="102"/>
      <c r="C391" s="102"/>
      <c r="D391" s="102"/>
      <c r="E391" s="102"/>
      <c r="F391" s="102"/>
      <c r="G391" s="102"/>
      <c r="H391" s="102"/>
      <c r="I391" s="102"/>
      <c r="J391" s="102"/>
      <c r="K391" s="104"/>
      <c r="L391" s="63" t="str">
        <f t="shared" ca="1" si="9"/>
        <v/>
      </c>
      <c r="M391" s="104"/>
      <c r="N391" s="105"/>
      <c r="O391" s="104"/>
      <c r="P391" s="102"/>
      <c r="Q391" s="111"/>
      <c r="R391" s="118"/>
      <c r="S391" s="107"/>
      <c r="T391" s="102"/>
      <c r="U391" s="102"/>
      <c r="V391" s="102"/>
      <c r="W391" s="105"/>
      <c r="X391" s="105"/>
      <c r="Y391" s="105"/>
      <c r="Z391" s="105"/>
      <c r="AA391" s="105"/>
      <c r="AB391" s="105"/>
      <c r="AC391" s="109"/>
      <c r="AD391" s="107"/>
      <c r="AE391" s="102"/>
      <c r="AF391" s="109"/>
      <c r="AG391" s="107"/>
      <c r="AH391" s="111"/>
      <c r="AI391" s="111"/>
      <c r="AJ391" s="131" t="str">
        <f t="shared" ca="1" si="10"/>
        <v/>
      </c>
      <c r="AK391" s="102"/>
      <c r="AL391" s="102"/>
      <c r="AM391" s="105"/>
      <c r="AN391" s="105"/>
      <c r="AO391" s="105"/>
      <c r="AP391" s="109"/>
      <c r="AQ391" s="112"/>
      <c r="AR391" s="102"/>
      <c r="AS391" s="102"/>
      <c r="AT391" s="113"/>
      <c r="AU391" s="108"/>
      <c r="AV391" s="107"/>
      <c r="AW391" s="109"/>
      <c r="AX391" s="115">
        <f t="shared" si="11"/>
        <v>1900</v>
      </c>
      <c r="AY391" s="115">
        <f t="shared" si="12"/>
        <v>1900</v>
      </c>
    </row>
    <row r="392" spans="1:51" ht="22.5" customHeight="1">
      <c r="A392" s="102"/>
      <c r="B392" s="102"/>
      <c r="C392" s="102"/>
      <c r="D392" s="102"/>
      <c r="E392" s="102"/>
      <c r="F392" s="102"/>
      <c r="G392" s="102"/>
      <c r="H392" s="102"/>
      <c r="I392" s="102"/>
      <c r="J392" s="102"/>
      <c r="K392" s="104"/>
      <c r="L392" s="63" t="str">
        <f t="shared" ca="1" si="9"/>
        <v/>
      </c>
      <c r="M392" s="104"/>
      <c r="N392" s="105"/>
      <c r="O392" s="104"/>
      <c r="P392" s="102"/>
      <c r="Q392" s="111"/>
      <c r="R392" s="118"/>
      <c r="S392" s="107"/>
      <c r="T392" s="102"/>
      <c r="U392" s="102"/>
      <c r="V392" s="102"/>
      <c r="W392" s="105"/>
      <c r="X392" s="105"/>
      <c r="Y392" s="105"/>
      <c r="Z392" s="105"/>
      <c r="AA392" s="105"/>
      <c r="AB392" s="105"/>
      <c r="AC392" s="109"/>
      <c r="AD392" s="107"/>
      <c r="AE392" s="102"/>
      <c r="AF392" s="109"/>
      <c r="AG392" s="107"/>
      <c r="AH392" s="111"/>
      <c r="AI392" s="111"/>
      <c r="AJ392" s="131" t="str">
        <f t="shared" ca="1" si="10"/>
        <v/>
      </c>
      <c r="AK392" s="102"/>
      <c r="AL392" s="102"/>
      <c r="AM392" s="105"/>
      <c r="AN392" s="105"/>
      <c r="AO392" s="105"/>
      <c r="AP392" s="109"/>
      <c r="AQ392" s="112"/>
      <c r="AR392" s="102"/>
      <c r="AS392" s="102"/>
      <c r="AT392" s="113"/>
      <c r="AU392" s="108"/>
      <c r="AV392" s="107"/>
      <c r="AW392" s="109"/>
      <c r="AX392" s="115">
        <f t="shared" si="11"/>
        <v>1900</v>
      </c>
      <c r="AY392" s="115">
        <f t="shared" si="12"/>
        <v>1900</v>
      </c>
    </row>
    <row r="393" spans="1:51" ht="22.5" customHeight="1">
      <c r="A393" s="102"/>
      <c r="B393" s="102"/>
      <c r="C393" s="102"/>
      <c r="D393" s="102"/>
      <c r="E393" s="102"/>
      <c r="F393" s="102"/>
      <c r="G393" s="102"/>
      <c r="H393" s="102"/>
      <c r="I393" s="102"/>
      <c r="J393" s="102"/>
      <c r="K393" s="104"/>
      <c r="L393" s="63" t="str">
        <f t="shared" ca="1" si="9"/>
        <v/>
      </c>
      <c r="M393" s="104"/>
      <c r="N393" s="105"/>
      <c r="O393" s="104"/>
      <c r="P393" s="102"/>
      <c r="Q393" s="111"/>
      <c r="R393" s="118"/>
      <c r="S393" s="107"/>
      <c r="T393" s="102"/>
      <c r="U393" s="102"/>
      <c r="V393" s="102"/>
      <c r="W393" s="105"/>
      <c r="X393" s="105"/>
      <c r="Y393" s="105"/>
      <c r="Z393" s="105"/>
      <c r="AA393" s="105"/>
      <c r="AB393" s="105"/>
      <c r="AC393" s="109"/>
      <c r="AD393" s="107"/>
      <c r="AE393" s="102"/>
      <c r="AF393" s="109"/>
      <c r="AG393" s="107"/>
      <c r="AH393" s="111"/>
      <c r="AI393" s="111"/>
      <c r="AJ393" s="131" t="str">
        <f t="shared" ca="1" si="10"/>
        <v/>
      </c>
      <c r="AK393" s="102"/>
      <c r="AL393" s="102"/>
      <c r="AM393" s="105"/>
      <c r="AN393" s="105"/>
      <c r="AO393" s="105"/>
      <c r="AP393" s="109"/>
      <c r="AQ393" s="112"/>
      <c r="AR393" s="102"/>
      <c r="AS393" s="102"/>
      <c r="AT393" s="113"/>
      <c r="AU393" s="108"/>
      <c r="AV393" s="107"/>
      <c r="AW393" s="109"/>
      <c r="AX393" s="115">
        <f t="shared" si="11"/>
        <v>1900</v>
      </c>
      <c r="AY393" s="115">
        <f t="shared" si="12"/>
        <v>1900</v>
      </c>
    </row>
    <row r="394" spans="1:51" ht="22.5" customHeight="1">
      <c r="A394" s="102"/>
      <c r="B394" s="102"/>
      <c r="C394" s="102"/>
      <c r="D394" s="102"/>
      <c r="E394" s="102"/>
      <c r="F394" s="102"/>
      <c r="G394" s="102"/>
      <c r="H394" s="102"/>
      <c r="I394" s="102"/>
      <c r="J394" s="102"/>
      <c r="K394" s="104"/>
      <c r="L394" s="63" t="str">
        <f t="shared" ca="1" si="9"/>
        <v/>
      </c>
      <c r="M394" s="104"/>
      <c r="N394" s="105"/>
      <c r="O394" s="104"/>
      <c r="P394" s="102"/>
      <c r="Q394" s="111"/>
      <c r="R394" s="118"/>
      <c r="S394" s="107"/>
      <c r="T394" s="102"/>
      <c r="U394" s="102"/>
      <c r="V394" s="102"/>
      <c r="W394" s="105"/>
      <c r="X394" s="105"/>
      <c r="Y394" s="105"/>
      <c r="Z394" s="105"/>
      <c r="AA394" s="105"/>
      <c r="AB394" s="105"/>
      <c r="AC394" s="109"/>
      <c r="AD394" s="107"/>
      <c r="AE394" s="102"/>
      <c r="AF394" s="109"/>
      <c r="AG394" s="107"/>
      <c r="AH394" s="111"/>
      <c r="AI394" s="111"/>
      <c r="AJ394" s="131" t="str">
        <f t="shared" ca="1" si="10"/>
        <v/>
      </c>
      <c r="AK394" s="102"/>
      <c r="AL394" s="102"/>
      <c r="AM394" s="105"/>
      <c r="AN394" s="105"/>
      <c r="AO394" s="105"/>
      <c r="AP394" s="109"/>
      <c r="AQ394" s="112"/>
      <c r="AR394" s="102"/>
      <c r="AS394" s="102"/>
      <c r="AT394" s="113"/>
      <c r="AU394" s="108"/>
      <c r="AV394" s="107"/>
      <c r="AW394" s="109"/>
      <c r="AX394" s="115">
        <f t="shared" si="11"/>
        <v>1900</v>
      </c>
      <c r="AY394" s="115">
        <f t="shared" si="12"/>
        <v>1900</v>
      </c>
    </row>
    <row r="395" spans="1:51" ht="22.5" customHeight="1">
      <c r="A395" s="102"/>
      <c r="B395" s="102"/>
      <c r="C395" s="102"/>
      <c r="D395" s="102"/>
      <c r="E395" s="102"/>
      <c r="F395" s="102"/>
      <c r="G395" s="102"/>
      <c r="H395" s="102"/>
      <c r="I395" s="102"/>
      <c r="J395" s="102"/>
      <c r="K395" s="104"/>
      <c r="L395" s="63" t="str">
        <f t="shared" ca="1" si="9"/>
        <v/>
      </c>
      <c r="M395" s="104"/>
      <c r="N395" s="105"/>
      <c r="O395" s="104"/>
      <c r="P395" s="102"/>
      <c r="Q395" s="111"/>
      <c r="R395" s="118"/>
      <c r="S395" s="107"/>
      <c r="T395" s="102"/>
      <c r="U395" s="102"/>
      <c r="V395" s="102"/>
      <c r="W395" s="105"/>
      <c r="X395" s="105"/>
      <c r="Y395" s="105"/>
      <c r="Z395" s="105"/>
      <c r="AA395" s="105"/>
      <c r="AB395" s="105"/>
      <c r="AC395" s="109"/>
      <c r="AD395" s="107"/>
      <c r="AE395" s="102"/>
      <c r="AF395" s="109"/>
      <c r="AG395" s="107"/>
      <c r="AH395" s="111"/>
      <c r="AI395" s="111"/>
      <c r="AJ395" s="131" t="str">
        <f t="shared" ca="1" si="10"/>
        <v/>
      </c>
      <c r="AK395" s="102"/>
      <c r="AL395" s="102"/>
      <c r="AM395" s="105"/>
      <c r="AN395" s="105"/>
      <c r="AO395" s="105"/>
      <c r="AP395" s="109"/>
      <c r="AQ395" s="112"/>
      <c r="AR395" s="102"/>
      <c r="AS395" s="102"/>
      <c r="AT395" s="113"/>
      <c r="AU395" s="108"/>
      <c r="AV395" s="107"/>
      <c r="AW395" s="109"/>
      <c r="AX395" s="115">
        <f t="shared" si="11"/>
        <v>1900</v>
      </c>
      <c r="AY395" s="115">
        <f t="shared" si="12"/>
        <v>1900</v>
      </c>
    </row>
    <row r="396" spans="1:51" ht="22.5" customHeight="1">
      <c r="A396" s="102"/>
      <c r="B396" s="102"/>
      <c r="C396" s="102"/>
      <c r="D396" s="102"/>
      <c r="E396" s="102"/>
      <c r="F396" s="102"/>
      <c r="G396" s="102"/>
      <c r="H396" s="102"/>
      <c r="I396" s="102"/>
      <c r="J396" s="102"/>
      <c r="K396" s="104"/>
      <c r="L396" s="63" t="str">
        <f t="shared" ca="1" si="9"/>
        <v/>
      </c>
      <c r="M396" s="104"/>
      <c r="N396" s="105"/>
      <c r="O396" s="104"/>
      <c r="P396" s="102"/>
      <c r="Q396" s="111"/>
      <c r="R396" s="118"/>
      <c r="S396" s="107"/>
      <c r="T396" s="102"/>
      <c r="U396" s="102"/>
      <c r="V396" s="102"/>
      <c r="W396" s="105"/>
      <c r="X396" s="105"/>
      <c r="Y396" s="105"/>
      <c r="Z396" s="105"/>
      <c r="AA396" s="105"/>
      <c r="AB396" s="105"/>
      <c r="AC396" s="109"/>
      <c r="AD396" s="107"/>
      <c r="AE396" s="102"/>
      <c r="AF396" s="109"/>
      <c r="AG396" s="107"/>
      <c r="AH396" s="111"/>
      <c r="AI396" s="111"/>
      <c r="AJ396" s="131" t="str">
        <f t="shared" ca="1" si="10"/>
        <v/>
      </c>
      <c r="AK396" s="102"/>
      <c r="AL396" s="102"/>
      <c r="AM396" s="105"/>
      <c r="AN396" s="105"/>
      <c r="AO396" s="105"/>
      <c r="AP396" s="109"/>
      <c r="AQ396" s="112"/>
      <c r="AR396" s="102"/>
      <c r="AS396" s="102"/>
      <c r="AT396" s="113"/>
      <c r="AU396" s="108"/>
      <c r="AV396" s="107"/>
      <c r="AW396" s="109"/>
      <c r="AX396" s="115">
        <f t="shared" si="11"/>
        <v>1900</v>
      </c>
      <c r="AY396" s="115">
        <f t="shared" si="12"/>
        <v>1900</v>
      </c>
    </row>
    <row r="397" spans="1:51" ht="22.5" customHeight="1">
      <c r="A397" s="102"/>
      <c r="B397" s="102"/>
      <c r="C397" s="102"/>
      <c r="D397" s="102"/>
      <c r="E397" s="102"/>
      <c r="F397" s="102"/>
      <c r="G397" s="102"/>
      <c r="H397" s="102"/>
      <c r="I397" s="102"/>
      <c r="J397" s="102"/>
      <c r="K397" s="104"/>
      <c r="L397" s="63" t="str">
        <f t="shared" ca="1" si="9"/>
        <v/>
      </c>
      <c r="M397" s="104"/>
      <c r="N397" s="105"/>
      <c r="O397" s="104"/>
      <c r="P397" s="102"/>
      <c r="Q397" s="111"/>
      <c r="R397" s="118"/>
      <c r="S397" s="107"/>
      <c r="T397" s="102"/>
      <c r="U397" s="102"/>
      <c r="V397" s="102"/>
      <c r="W397" s="105"/>
      <c r="X397" s="105"/>
      <c r="Y397" s="105"/>
      <c r="Z397" s="105"/>
      <c r="AA397" s="105"/>
      <c r="AB397" s="105"/>
      <c r="AC397" s="109"/>
      <c r="AD397" s="107"/>
      <c r="AE397" s="102"/>
      <c r="AF397" s="109"/>
      <c r="AG397" s="107"/>
      <c r="AH397" s="111"/>
      <c r="AI397" s="111"/>
      <c r="AJ397" s="131" t="str">
        <f t="shared" ca="1" si="10"/>
        <v/>
      </c>
      <c r="AK397" s="102"/>
      <c r="AL397" s="102"/>
      <c r="AM397" s="105"/>
      <c r="AN397" s="105"/>
      <c r="AO397" s="105"/>
      <c r="AP397" s="109"/>
      <c r="AQ397" s="112"/>
      <c r="AR397" s="102"/>
      <c r="AS397" s="102"/>
      <c r="AT397" s="113"/>
      <c r="AU397" s="108"/>
      <c r="AV397" s="107"/>
      <c r="AW397" s="109"/>
      <c r="AX397" s="115">
        <f t="shared" si="11"/>
        <v>1900</v>
      </c>
      <c r="AY397" s="115">
        <f t="shared" si="12"/>
        <v>1900</v>
      </c>
    </row>
    <row r="398" spans="1:51" ht="22.5" customHeight="1">
      <c r="A398" s="102"/>
      <c r="B398" s="102"/>
      <c r="C398" s="102"/>
      <c r="D398" s="102"/>
      <c r="E398" s="102"/>
      <c r="F398" s="102"/>
      <c r="G398" s="102"/>
      <c r="H398" s="102"/>
      <c r="I398" s="102"/>
      <c r="J398" s="102"/>
      <c r="K398" s="104"/>
      <c r="L398" s="63" t="str">
        <f t="shared" ca="1" si="9"/>
        <v/>
      </c>
      <c r="M398" s="104"/>
      <c r="N398" s="105"/>
      <c r="O398" s="104"/>
      <c r="P398" s="102"/>
      <c r="Q398" s="111"/>
      <c r="R398" s="118"/>
      <c r="S398" s="107"/>
      <c r="T398" s="102"/>
      <c r="U398" s="102"/>
      <c r="V398" s="102"/>
      <c r="W398" s="105"/>
      <c r="X398" s="105"/>
      <c r="Y398" s="105"/>
      <c r="Z398" s="105"/>
      <c r="AA398" s="105"/>
      <c r="AB398" s="105"/>
      <c r="AC398" s="109"/>
      <c r="AD398" s="107"/>
      <c r="AE398" s="102"/>
      <c r="AF398" s="109"/>
      <c r="AG398" s="107"/>
      <c r="AH398" s="111"/>
      <c r="AI398" s="111"/>
      <c r="AJ398" s="131" t="str">
        <f t="shared" ca="1" si="10"/>
        <v/>
      </c>
      <c r="AK398" s="102"/>
      <c r="AL398" s="102"/>
      <c r="AM398" s="105"/>
      <c r="AN398" s="105"/>
      <c r="AO398" s="105"/>
      <c r="AP398" s="109"/>
      <c r="AQ398" s="112"/>
      <c r="AR398" s="102"/>
      <c r="AS398" s="102"/>
      <c r="AT398" s="113"/>
      <c r="AU398" s="108"/>
      <c r="AV398" s="107"/>
      <c r="AW398" s="109"/>
      <c r="AX398" s="115">
        <f t="shared" si="11"/>
        <v>1900</v>
      </c>
      <c r="AY398" s="115">
        <f t="shared" si="12"/>
        <v>1900</v>
      </c>
    </row>
    <row r="399" spans="1:51" ht="22.5" customHeight="1">
      <c r="A399" s="102"/>
      <c r="B399" s="102"/>
      <c r="C399" s="102"/>
      <c r="D399" s="102"/>
      <c r="E399" s="102"/>
      <c r="F399" s="102"/>
      <c r="G399" s="102"/>
      <c r="H399" s="102"/>
      <c r="I399" s="102"/>
      <c r="J399" s="102"/>
      <c r="K399" s="104"/>
      <c r="L399" s="63" t="str">
        <f t="shared" ca="1" si="9"/>
        <v/>
      </c>
      <c r="M399" s="104"/>
      <c r="N399" s="105"/>
      <c r="O399" s="104"/>
      <c r="P399" s="102"/>
      <c r="Q399" s="111"/>
      <c r="R399" s="118"/>
      <c r="S399" s="107"/>
      <c r="T399" s="102"/>
      <c r="U399" s="102"/>
      <c r="V399" s="102"/>
      <c r="W399" s="105"/>
      <c r="X399" s="105"/>
      <c r="Y399" s="105"/>
      <c r="Z399" s="105"/>
      <c r="AA399" s="105"/>
      <c r="AB399" s="105"/>
      <c r="AC399" s="109"/>
      <c r="AD399" s="107"/>
      <c r="AE399" s="102"/>
      <c r="AF399" s="109"/>
      <c r="AG399" s="107"/>
      <c r="AH399" s="111"/>
      <c r="AI399" s="111"/>
      <c r="AJ399" s="131" t="str">
        <f t="shared" ca="1" si="10"/>
        <v/>
      </c>
      <c r="AK399" s="102"/>
      <c r="AL399" s="102"/>
      <c r="AM399" s="105"/>
      <c r="AN399" s="105"/>
      <c r="AO399" s="105"/>
      <c r="AP399" s="109"/>
      <c r="AQ399" s="112"/>
      <c r="AR399" s="102"/>
      <c r="AS399" s="102"/>
      <c r="AT399" s="113"/>
      <c r="AU399" s="108"/>
      <c r="AV399" s="107"/>
      <c r="AW399" s="109"/>
      <c r="AX399" s="115">
        <f t="shared" si="11"/>
        <v>1900</v>
      </c>
      <c r="AY399" s="115">
        <f t="shared" si="12"/>
        <v>1900</v>
      </c>
    </row>
    <row r="400" spans="1:51" ht="22.5" customHeight="1">
      <c r="A400" s="102"/>
      <c r="B400" s="102"/>
      <c r="C400" s="102"/>
      <c r="D400" s="102"/>
      <c r="E400" s="102"/>
      <c r="F400" s="102"/>
      <c r="G400" s="102"/>
      <c r="H400" s="102"/>
      <c r="I400" s="102"/>
      <c r="J400" s="102"/>
      <c r="K400" s="104"/>
      <c r="L400" s="63" t="str">
        <f t="shared" ca="1" si="9"/>
        <v/>
      </c>
      <c r="M400" s="104"/>
      <c r="N400" s="105"/>
      <c r="O400" s="104"/>
      <c r="P400" s="102"/>
      <c r="Q400" s="111"/>
      <c r="R400" s="118"/>
      <c r="S400" s="107"/>
      <c r="T400" s="102"/>
      <c r="U400" s="102"/>
      <c r="V400" s="102"/>
      <c r="W400" s="105"/>
      <c r="X400" s="105"/>
      <c r="Y400" s="105"/>
      <c r="Z400" s="105"/>
      <c r="AA400" s="105"/>
      <c r="AB400" s="105"/>
      <c r="AC400" s="109"/>
      <c r="AD400" s="107"/>
      <c r="AE400" s="102"/>
      <c r="AF400" s="109"/>
      <c r="AG400" s="107"/>
      <c r="AH400" s="111"/>
      <c r="AI400" s="111"/>
      <c r="AJ400" s="131" t="str">
        <f t="shared" ca="1" si="10"/>
        <v/>
      </c>
      <c r="AK400" s="102"/>
      <c r="AL400" s="102"/>
      <c r="AM400" s="105"/>
      <c r="AN400" s="105"/>
      <c r="AO400" s="105"/>
      <c r="AP400" s="109"/>
      <c r="AQ400" s="112"/>
      <c r="AR400" s="102"/>
      <c r="AS400" s="102"/>
      <c r="AT400" s="113"/>
      <c r="AU400" s="108"/>
      <c r="AV400" s="107"/>
      <c r="AW400" s="109"/>
      <c r="AX400" s="115">
        <f t="shared" si="11"/>
        <v>1900</v>
      </c>
      <c r="AY400" s="115">
        <f t="shared" si="12"/>
        <v>1900</v>
      </c>
    </row>
    <row r="401" spans="1:51" ht="22.5" customHeight="1">
      <c r="A401" s="102"/>
      <c r="B401" s="102"/>
      <c r="C401" s="102"/>
      <c r="D401" s="102"/>
      <c r="E401" s="102"/>
      <c r="F401" s="102"/>
      <c r="G401" s="102"/>
      <c r="H401" s="102"/>
      <c r="I401" s="102"/>
      <c r="J401" s="102"/>
      <c r="K401" s="104"/>
      <c r="L401" s="63" t="str">
        <f t="shared" ca="1" si="9"/>
        <v/>
      </c>
      <c r="M401" s="104"/>
      <c r="N401" s="105"/>
      <c r="O401" s="104"/>
      <c r="P401" s="102"/>
      <c r="Q401" s="111"/>
      <c r="R401" s="118"/>
      <c r="S401" s="107"/>
      <c r="T401" s="102"/>
      <c r="U401" s="102"/>
      <c r="V401" s="102"/>
      <c r="W401" s="105"/>
      <c r="X401" s="105"/>
      <c r="Y401" s="105"/>
      <c r="Z401" s="105"/>
      <c r="AA401" s="105"/>
      <c r="AB401" s="105"/>
      <c r="AC401" s="109"/>
      <c r="AD401" s="107"/>
      <c r="AE401" s="102"/>
      <c r="AF401" s="109"/>
      <c r="AG401" s="107"/>
      <c r="AH401" s="111"/>
      <c r="AI401" s="111"/>
      <c r="AJ401" s="131" t="str">
        <f t="shared" ca="1" si="10"/>
        <v/>
      </c>
      <c r="AK401" s="102"/>
      <c r="AL401" s="102"/>
      <c r="AM401" s="105"/>
      <c r="AN401" s="105"/>
      <c r="AO401" s="105"/>
      <c r="AP401" s="109"/>
      <c r="AQ401" s="112"/>
      <c r="AR401" s="102"/>
      <c r="AS401" s="102"/>
      <c r="AT401" s="113"/>
      <c r="AU401" s="108"/>
      <c r="AV401" s="107"/>
      <c r="AW401" s="109"/>
      <c r="AX401" s="115">
        <f t="shared" si="11"/>
        <v>1900</v>
      </c>
      <c r="AY401" s="115">
        <f t="shared" si="12"/>
        <v>1900</v>
      </c>
    </row>
    <row r="402" spans="1:51" ht="22.5" customHeight="1">
      <c r="A402" s="102"/>
      <c r="B402" s="102"/>
      <c r="C402" s="102"/>
      <c r="D402" s="102"/>
      <c r="E402" s="102"/>
      <c r="F402" s="102"/>
      <c r="G402" s="102"/>
      <c r="H402" s="102"/>
      <c r="I402" s="102"/>
      <c r="J402" s="102"/>
      <c r="K402" s="104"/>
      <c r="L402" s="63" t="str">
        <f t="shared" ca="1" si="9"/>
        <v/>
      </c>
      <c r="M402" s="104"/>
      <c r="N402" s="105"/>
      <c r="O402" s="104"/>
      <c r="P402" s="102"/>
      <c r="Q402" s="111"/>
      <c r="R402" s="118"/>
      <c r="S402" s="107"/>
      <c r="T402" s="102"/>
      <c r="U402" s="102"/>
      <c r="V402" s="102"/>
      <c r="W402" s="105"/>
      <c r="X402" s="105"/>
      <c r="Y402" s="105"/>
      <c r="Z402" s="105"/>
      <c r="AA402" s="105"/>
      <c r="AB402" s="105"/>
      <c r="AC402" s="109"/>
      <c r="AD402" s="107"/>
      <c r="AE402" s="102"/>
      <c r="AF402" s="109"/>
      <c r="AG402" s="107"/>
      <c r="AH402" s="111"/>
      <c r="AI402" s="111"/>
      <c r="AJ402" s="131" t="str">
        <f t="shared" ca="1" si="10"/>
        <v/>
      </c>
      <c r="AK402" s="102"/>
      <c r="AL402" s="102"/>
      <c r="AM402" s="105"/>
      <c r="AN402" s="105"/>
      <c r="AO402" s="105"/>
      <c r="AP402" s="109"/>
      <c r="AQ402" s="112"/>
      <c r="AR402" s="102"/>
      <c r="AS402" s="102"/>
      <c r="AT402" s="113"/>
      <c r="AU402" s="108"/>
      <c r="AV402" s="107"/>
      <c r="AW402" s="109"/>
      <c r="AX402" s="115">
        <f t="shared" si="11"/>
        <v>1900</v>
      </c>
      <c r="AY402" s="115">
        <f t="shared" si="12"/>
        <v>1900</v>
      </c>
    </row>
    <row r="403" spans="1:51" ht="22.5" customHeight="1">
      <c r="A403" s="102"/>
      <c r="B403" s="102"/>
      <c r="C403" s="102"/>
      <c r="D403" s="102"/>
      <c r="E403" s="102"/>
      <c r="F403" s="102"/>
      <c r="G403" s="102"/>
      <c r="H403" s="102"/>
      <c r="I403" s="102"/>
      <c r="J403" s="102"/>
      <c r="K403" s="104"/>
      <c r="L403" s="63" t="str">
        <f t="shared" ca="1" si="9"/>
        <v/>
      </c>
      <c r="M403" s="104"/>
      <c r="N403" s="105"/>
      <c r="O403" s="104"/>
      <c r="P403" s="102"/>
      <c r="Q403" s="111"/>
      <c r="R403" s="118"/>
      <c r="S403" s="107"/>
      <c r="T403" s="102"/>
      <c r="U403" s="102"/>
      <c r="V403" s="102"/>
      <c r="W403" s="105"/>
      <c r="X403" s="105"/>
      <c r="Y403" s="105"/>
      <c r="Z403" s="105"/>
      <c r="AA403" s="105"/>
      <c r="AB403" s="105"/>
      <c r="AC403" s="109"/>
      <c r="AD403" s="107"/>
      <c r="AE403" s="102"/>
      <c r="AF403" s="109"/>
      <c r="AG403" s="107"/>
      <c r="AH403" s="111"/>
      <c r="AI403" s="111"/>
      <c r="AJ403" s="131" t="str">
        <f t="shared" ca="1" si="10"/>
        <v/>
      </c>
      <c r="AK403" s="102"/>
      <c r="AL403" s="102"/>
      <c r="AM403" s="105"/>
      <c r="AN403" s="105"/>
      <c r="AO403" s="105"/>
      <c r="AP403" s="109"/>
      <c r="AQ403" s="112"/>
      <c r="AR403" s="102"/>
      <c r="AS403" s="102"/>
      <c r="AT403" s="113"/>
      <c r="AU403" s="108"/>
      <c r="AV403" s="107"/>
      <c r="AW403" s="109"/>
      <c r="AX403" s="115">
        <f t="shared" si="11"/>
        <v>1900</v>
      </c>
      <c r="AY403" s="115">
        <f t="shared" si="12"/>
        <v>1900</v>
      </c>
    </row>
    <row r="404" spans="1:51" ht="22.5" customHeight="1">
      <c r="A404" s="102"/>
      <c r="B404" s="102"/>
      <c r="C404" s="102"/>
      <c r="D404" s="102"/>
      <c r="E404" s="102"/>
      <c r="F404" s="102"/>
      <c r="G404" s="102"/>
      <c r="H404" s="102"/>
      <c r="I404" s="102"/>
      <c r="J404" s="102"/>
      <c r="K404" s="104"/>
      <c r="L404" s="63" t="str">
        <f t="shared" ca="1" si="9"/>
        <v/>
      </c>
      <c r="M404" s="104"/>
      <c r="N404" s="105"/>
      <c r="O404" s="104"/>
      <c r="P404" s="102"/>
      <c r="Q404" s="111"/>
      <c r="R404" s="118"/>
      <c r="S404" s="107"/>
      <c r="T404" s="102"/>
      <c r="U404" s="102"/>
      <c r="V404" s="102"/>
      <c r="W404" s="105"/>
      <c r="X404" s="105"/>
      <c r="Y404" s="105"/>
      <c r="Z404" s="105"/>
      <c r="AA404" s="105"/>
      <c r="AB404" s="105"/>
      <c r="AC404" s="109"/>
      <c r="AD404" s="107"/>
      <c r="AE404" s="102"/>
      <c r="AF404" s="109"/>
      <c r="AG404" s="107"/>
      <c r="AH404" s="111"/>
      <c r="AI404" s="111"/>
      <c r="AJ404" s="131" t="str">
        <f t="shared" ca="1" si="10"/>
        <v/>
      </c>
      <c r="AK404" s="102"/>
      <c r="AL404" s="102"/>
      <c r="AM404" s="105"/>
      <c r="AN404" s="105"/>
      <c r="AO404" s="105"/>
      <c r="AP404" s="109"/>
      <c r="AQ404" s="112"/>
      <c r="AR404" s="102"/>
      <c r="AS404" s="102"/>
      <c r="AT404" s="113"/>
      <c r="AU404" s="108"/>
      <c r="AV404" s="107"/>
      <c r="AW404" s="109"/>
      <c r="AX404" s="115">
        <f t="shared" si="11"/>
        <v>1900</v>
      </c>
      <c r="AY404" s="115">
        <f t="shared" si="12"/>
        <v>1900</v>
      </c>
    </row>
    <row r="405" spans="1:51" ht="22.5" customHeight="1">
      <c r="A405" s="102"/>
      <c r="B405" s="102"/>
      <c r="C405" s="102"/>
      <c r="D405" s="102"/>
      <c r="E405" s="102"/>
      <c r="F405" s="102"/>
      <c r="G405" s="102"/>
      <c r="H405" s="102"/>
      <c r="I405" s="102"/>
      <c r="J405" s="102"/>
      <c r="K405" s="104"/>
      <c r="L405" s="63" t="str">
        <f t="shared" ca="1" si="9"/>
        <v/>
      </c>
      <c r="M405" s="104"/>
      <c r="N405" s="105"/>
      <c r="O405" s="104"/>
      <c r="P405" s="102"/>
      <c r="Q405" s="111"/>
      <c r="R405" s="118"/>
      <c r="S405" s="107"/>
      <c r="T405" s="102"/>
      <c r="U405" s="102"/>
      <c r="V405" s="102"/>
      <c r="W405" s="105"/>
      <c r="X405" s="105"/>
      <c r="Y405" s="105"/>
      <c r="Z405" s="105"/>
      <c r="AA405" s="105"/>
      <c r="AB405" s="105"/>
      <c r="AC405" s="109"/>
      <c r="AD405" s="107"/>
      <c r="AE405" s="102"/>
      <c r="AF405" s="109"/>
      <c r="AG405" s="107"/>
      <c r="AH405" s="111"/>
      <c r="AI405" s="111"/>
      <c r="AJ405" s="131" t="str">
        <f t="shared" ca="1" si="10"/>
        <v/>
      </c>
      <c r="AK405" s="102"/>
      <c r="AL405" s="102"/>
      <c r="AM405" s="105"/>
      <c r="AN405" s="105"/>
      <c r="AO405" s="105"/>
      <c r="AP405" s="109"/>
      <c r="AQ405" s="112"/>
      <c r="AR405" s="102"/>
      <c r="AS405" s="102"/>
      <c r="AT405" s="113"/>
      <c r="AU405" s="108"/>
      <c r="AV405" s="107"/>
      <c r="AW405" s="109"/>
      <c r="AX405" s="115">
        <f t="shared" si="11"/>
        <v>1900</v>
      </c>
      <c r="AY405" s="115">
        <f t="shared" si="12"/>
        <v>1900</v>
      </c>
    </row>
    <row r="406" spans="1:51" ht="22.5" customHeight="1">
      <c r="A406" s="102"/>
      <c r="B406" s="102"/>
      <c r="C406" s="102"/>
      <c r="D406" s="102"/>
      <c r="E406" s="102"/>
      <c r="F406" s="102"/>
      <c r="G406" s="102"/>
      <c r="H406" s="102"/>
      <c r="I406" s="102"/>
      <c r="J406" s="102"/>
      <c r="K406" s="104"/>
      <c r="L406" s="63" t="str">
        <f t="shared" ca="1" si="9"/>
        <v/>
      </c>
      <c r="M406" s="104"/>
      <c r="N406" s="105"/>
      <c r="O406" s="104"/>
      <c r="P406" s="102"/>
      <c r="Q406" s="111"/>
      <c r="R406" s="118"/>
      <c r="S406" s="107"/>
      <c r="T406" s="102"/>
      <c r="U406" s="102"/>
      <c r="V406" s="102"/>
      <c r="W406" s="105"/>
      <c r="X406" s="105"/>
      <c r="Y406" s="105"/>
      <c r="Z406" s="105"/>
      <c r="AA406" s="105"/>
      <c r="AB406" s="105"/>
      <c r="AC406" s="109"/>
      <c r="AD406" s="107"/>
      <c r="AE406" s="102"/>
      <c r="AF406" s="109"/>
      <c r="AG406" s="107"/>
      <c r="AH406" s="111"/>
      <c r="AI406" s="111"/>
      <c r="AJ406" s="131" t="str">
        <f t="shared" ca="1" si="10"/>
        <v/>
      </c>
      <c r="AK406" s="102"/>
      <c r="AL406" s="102"/>
      <c r="AM406" s="105"/>
      <c r="AN406" s="105"/>
      <c r="AO406" s="105"/>
      <c r="AP406" s="109"/>
      <c r="AQ406" s="112"/>
      <c r="AR406" s="102"/>
      <c r="AS406" s="102"/>
      <c r="AT406" s="113"/>
      <c r="AU406" s="108"/>
      <c r="AV406" s="107"/>
      <c r="AW406" s="109"/>
      <c r="AX406" s="115">
        <f t="shared" si="11"/>
        <v>1900</v>
      </c>
      <c r="AY406" s="115">
        <f t="shared" si="12"/>
        <v>1900</v>
      </c>
    </row>
    <row r="407" spans="1:51" ht="22.5" customHeight="1">
      <c r="A407" s="102"/>
      <c r="B407" s="102"/>
      <c r="C407" s="102"/>
      <c r="D407" s="102"/>
      <c r="E407" s="102"/>
      <c r="F407" s="102"/>
      <c r="G407" s="102"/>
      <c r="H407" s="102"/>
      <c r="I407" s="102"/>
      <c r="J407" s="102"/>
      <c r="K407" s="104"/>
      <c r="L407" s="63" t="str">
        <f t="shared" ca="1" si="9"/>
        <v/>
      </c>
      <c r="M407" s="104"/>
      <c r="N407" s="105"/>
      <c r="O407" s="104"/>
      <c r="P407" s="102"/>
      <c r="Q407" s="111"/>
      <c r="R407" s="118"/>
      <c r="S407" s="107"/>
      <c r="T407" s="102"/>
      <c r="U407" s="102"/>
      <c r="V407" s="102"/>
      <c r="W407" s="105"/>
      <c r="X407" s="105"/>
      <c r="Y407" s="105"/>
      <c r="Z407" s="105"/>
      <c r="AA407" s="105"/>
      <c r="AB407" s="105"/>
      <c r="AC407" s="109"/>
      <c r="AD407" s="107"/>
      <c r="AE407" s="102"/>
      <c r="AF407" s="109"/>
      <c r="AG407" s="107"/>
      <c r="AH407" s="111"/>
      <c r="AI407" s="111"/>
      <c r="AJ407" s="131" t="str">
        <f t="shared" ca="1" si="10"/>
        <v/>
      </c>
      <c r="AK407" s="102"/>
      <c r="AL407" s="102"/>
      <c r="AM407" s="105"/>
      <c r="AN407" s="105"/>
      <c r="AO407" s="105"/>
      <c r="AP407" s="109"/>
      <c r="AQ407" s="112"/>
      <c r="AR407" s="102"/>
      <c r="AS407" s="102"/>
      <c r="AT407" s="113"/>
      <c r="AU407" s="108"/>
      <c r="AV407" s="107"/>
      <c r="AW407" s="109"/>
      <c r="AX407" s="115">
        <f t="shared" si="11"/>
        <v>1900</v>
      </c>
      <c r="AY407" s="115">
        <f t="shared" si="12"/>
        <v>1900</v>
      </c>
    </row>
    <row r="408" spans="1:51" ht="22.5" customHeight="1">
      <c r="A408" s="102"/>
      <c r="B408" s="102"/>
      <c r="C408" s="102"/>
      <c r="D408" s="102"/>
      <c r="E408" s="102"/>
      <c r="F408" s="102"/>
      <c r="G408" s="102"/>
      <c r="H408" s="102"/>
      <c r="I408" s="102"/>
      <c r="J408" s="102"/>
      <c r="K408" s="104"/>
      <c r="L408" s="63" t="str">
        <f t="shared" ca="1" si="9"/>
        <v/>
      </c>
      <c r="M408" s="104"/>
      <c r="N408" s="105"/>
      <c r="O408" s="104"/>
      <c r="P408" s="102"/>
      <c r="Q408" s="111"/>
      <c r="R408" s="118"/>
      <c r="S408" s="107"/>
      <c r="T408" s="102"/>
      <c r="U408" s="102"/>
      <c r="V408" s="102"/>
      <c r="W408" s="105"/>
      <c r="X408" s="105"/>
      <c r="Y408" s="105"/>
      <c r="Z408" s="105"/>
      <c r="AA408" s="105"/>
      <c r="AB408" s="105"/>
      <c r="AC408" s="109"/>
      <c r="AD408" s="107"/>
      <c r="AE408" s="102"/>
      <c r="AF408" s="109"/>
      <c r="AG408" s="107"/>
      <c r="AH408" s="111"/>
      <c r="AI408" s="111"/>
      <c r="AJ408" s="131" t="str">
        <f t="shared" ca="1" si="10"/>
        <v/>
      </c>
      <c r="AK408" s="102"/>
      <c r="AL408" s="102"/>
      <c r="AM408" s="105"/>
      <c r="AN408" s="105"/>
      <c r="AO408" s="105"/>
      <c r="AP408" s="109"/>
      <c r="AQ408" s="112"/>
      <c r="AR408" s="102"/>
      <c r="AS408" s="102"/>
      <c r="AT408" s="113"/>
      <c r="AU408" s="108"/>
      <c r="AV408" s="107"/>
      <c r="AW408" s="109"/>
      <c r="AX408" s="115">
        <f t="shared" si="11"/>
        <v>1900</v>
      </c>
      <c r="AY408" s="115">
        <f t="shared" si="12"/>
        <v>1900</v>
      </c>
    </row>
    <row r="409" spans="1:51" ht="22.5" customHeight="1">
      <c r="A409" s="102"/>
      <c r="B409" s="102"/>
      <c r="C409" s="102"/>
      <c r="D409" s="102"/>
      <c r="E409" s="102"/>
      <c r="F409" s="102"/>
      <c r="G409" s="102"/>
      <c r="H409" s="102"/>
      <c r="I409" s="102"/>
      <c r="J409" s="102"/>
      <c r="K409" s="104"/>
      <c r="L409" s="63" t="str">
        <f t="shared" ca="1" si="9"/>
        <v/>
      </c>
      <c r="M409" s="104"/>
      <c r="N409" s="105"/>
      <c r="O409" s="104"/>
      <c r="P409" s="102"/>
      <c r="Q409" s="111"/>
      <c r="R409" s="118"/>
      <c r="S409" s="107"/>
      <c r="T409" s="102"/>
      <c r="U409" s="102"/>
      <c r="V409" s="102"/>
      <c r="W409" s="105"/>
      <c r="X409" s="105"/>
      <c r="Y409" s="105"/>
      <c r="Z409" s="105"/>
      <c r="AA409" s="105"/>
      <c r="AB409" s="105"/>
      <c r="AC409" s="109"/>
      <c r="AD409" s="107"/>
      <c r="AE409" s="102"/>
      <c r="AF409" s="109"/>
      <c r="AG409" s="107"/>
      <c r="AH409" s="111"/>
      <c r="AI409" s="111"/>
      <c r="AJ409" s="131" t="str">
        <f t="shared" ca="1" si="10"/>
        <v/>
      </c>
      <c r="AK409" s="102"/>
      <c r="AL409" s="102"/>
      <c r="AM409" s="105"/>
      <c r="AN409" s="105"/>
      <c r="AO409" s="105"/>
      <c r="AP409" s="109"/>
      <c r="AQ409" s="112"/>
      <c r="AR409" s="102"/>
      <c r="AS409" s="102"/>
      <c r="AT409" s="113"/>
      <c r="AU409" s="108"/>
      <c r="AV409" s="107"/>
      <c r="AW409" s="109"/>
      <c r="AX409" s="115">
        <f t="shared" si="11"/>
        <v>1900</v>
      </c>
      <c r="AY409" s="115">
        <f t="shared" si="12"/>
        <v>1900</v>
      </c>
    </row>
    <row r="410" spans="1:51" ht="22.5" customHeight="1">
      <c r="A410" s="102"/>
      <c r="B410" s="102"/>
      <c r="C410" s="102"/>
      <c r="D410" s="102"/>
      <c r="E410" s="102"/>
      <c r="F410" s="102"/>
      <c r="G410" s="102"/>
      <c r="H410" s="102"/>
      <c r="I410" s="102"/>
      <c r="J410" s="102"/>
      <c r="K410" s="104"/>
      <c r="L410" s="63" t="str">
        <f t="shared" ca="1" si="9"/>
        <v/>
      </c>
      <c r="M410" s="104"/>
      <c r="N410" s="105"/>
      <c r="O410" s="104"/>
      <c r="P410" s="102"/>
      <c r="Q410" s="111"/>
      <c r="R410" s="118"/>
      <c r="S410" s="107"/>
      <c r="T410" s="102"/>
      <c r="U410" s="102"/>
      <c r="V410" s="102"/>
      <c r="W410" s="105"/>
      <c r="X410" s="105"/>
      <c r="Y410" s="105"/>
      <c r="Z410" s="105"/>
      <c r="AA410" s="105"/>
      <c r="AB410" s="105"/>
      <c r="AC410" s="109"/>
      <c r="AD410" s="107"/>
      <c r="AE410" s="102"/>
      <c r="AF410" s="109"/>
      <c r="AG410" s="107"/>
      <c r="AH410" s="111"/>
      <c r="AI410" s="111"/>
      <c r="AJ410" s="131" t="str">
        <f t="shared" ca="1" si="10"/>
        <v/>
      </c>
      <c r="AK410" s="102"/>
      <c r="AL410" s="102"/>
      <c r="AM410" s="105"/>
      <c r="AN410" s="105"/>
      <c r="AO410" s="105"/>
      <c r="AP410" s="109"/>
      <c r="AQ410" s="112"/>
      <c r="AR410" s="102"/>
      <c r="AS410" s="102"/>
      <c r="AT410" s="113"/>
      <c r="AU410" s="108"/>
      <c r="AV410" s="107"/>
      <c r="AW410" s="109"/>
      <c r="AX410" s="115">
        <f t="shared" si="11"/>
        <v>1900</v>
      </c>
      <c r="AY410" s="115">
        <f t="shared" si="12"/>
        <v>1900</v>
      </c>
    </row>
    <row r="411" spans="1:51" ht="22.5" customHeight="1">
      <c r="A411" s="102"/>
      <c r="B411" s="102"/>
      <c r="C411" s="102"/>
      <c r="D411" s="102"/>
      <c r="E411" s="102"/>
      <c r="F411" s="102"/>
      <c r="G411" s="102"/>
      <c r="H411" s="102"/>
      <c r="I411" s="102"/>
      <c r="J411" s="102"/>
      <c r="K411" s="104"/>
      <c r="L411" s="63" t="str">
        <f t="shared" ca="1" si="9"/>
        <v/>
      </c>
      <c r="M411" s="104"/>
      <c r="N411" s="105"/>
      <c r="O411" s="104"/>
      <c r="P411" s="102"/>
      <c r="Q411" s="111"/>
      <c r="R411" s="118"/>
      <c r="S411" s="107"/>
      <c r="T411" s="102"/>
      <c r="U411" s="102"/>
      <c r="V411" s="102"/>
      <c r="W411" s="105"/>
      <c r="X411" s="105"/>
      <c r="Y411" s="105"/>
      <c r="Z411" s="105"/>
      <c r="AA411" s="105"/>
      <c r="AB411" s="105"/>
      <c r="AC411" s="109"/>
      <c r="AD411" s="107"/>
      <c r="AE411" s="102"/>
      <c r="AF411" s="109"/>
      <c r="AG411" s="107"/>
      <c r="AH411" s="111"/>
      <c r="AI411" s="111"/>
      <c r="AJ411" s="131" t="str">
        <f t="shared" ca="1" si="10"/>
        <v/>
      </c>
      <c r="AK411" s="102"/>
      <c r="AL411" s="102"/>
      <c r="AM411" s="105"/>
      <c r="AN411" s="105"/>
      <c r="AO411" s="105"/>
      <c r="AP411" s="109"/>
      <c r="AQ411" s="112"/>
      <c r="AR411" s="102"/>
      <c r="AS411" s="102"/>
      <c r="AT411" s="113"/>
      <c r="AU411" s="108"/>
      <c r="AV411" s="107"/>
      <c r="AW411" s="109"/>
      <c r="AX411" s="115">
        <f t="shared" si="11"/>
        <v>1900</v>
      </c>
      <c r="AY411" s="115">
        <f t="shared" si="12"/>
        <v>1900</v>
      </c>
    </row>
    <row r="412" spans="1:51" ht="22.5" customHeight="1">
      <c r="A412" s="102"/>
      <c r="B412" s="102"/>
      <c r="C412" s="102"/>
      <c r="D412" s="102"/>
      <c r="E412" s="102"/>
      <c r="F412" s="102"/>
      <c r="G412" s="102"/>
      <c r="H412" s="102"/>
      <c r="I412" s="102"/>
      <c r="J412" s="102"/>
      <c r="K412" s="104"/>
      <c r="L412" s="63" t="str">
        <f t="shared" ca="1" si="9"/>
        <v/>
      </c>
      <c r="M412" s="104"/>
      <c r="N412" s="105"/>
      <c r="O412" s="104"/>
      <c r="P412" s="102"/>
      <c r="Q412" s="111"/>
      <c r="R412" s="118"/>
      <c r="S412" s="107"/>
      <c r="T412" s="102"/>
      <c r="U412" s="102"/>
      <c r="V412" s="102"/>
      <c r="W412" s="105"/>
      <c r="X412" s="105"/>
      <c r="Y412" s="105"/>
      <c r="Z412" s="105"/>
      <c r="AA412" s="105"/>
      <c r="AB412" s="105"/>
      <c r="AC412" s="109"/>
      <c r="AD412" s="107"/>
      <c r="AE412" s="102"/>
      <c r="AF412" s="109"/>
      <c r="AG412" s="107"/>
      <c r="AH412" s="111"/>
      <c r="AI412" s="111"/>
      <c r="AJ412" s="131" t="str">
        <f t="shared" ca="1" si="10"/>
        <v/>
      </c>
      <c r="AK412" s="102"/>
      <c r="AL412" s="102"/>
      <c r="AM412" s="105"/>
      <c r="AN412" s="105"/>
      <c r="AO412" s="105"/>
      <c r="AP412" s="109"/>
      <c r="AQ412" s="112"/>
      <c r="AR412" s="102"/>
      <c r="AS412" s="102"/>
      <c r="AT412" s="113"/>
      <c r="AU412" s="108"/>
      <c r="AV412" s="107"/>
      <c r="AW412" s="109"/>
      <c r="AX412" s="115">
        <f t="shared" si="11"/>
        <v>1900</v>
      </c>
      <c r="AY412" s="115">
        <f t="shared" si="12"/>
        <v>1900</v>
      </c>
    </row>
    <row r="413" spans="1:51" ht="22.5" customHeight="1">
      <c r="A413" s="102"/>
      <c r="B413" s="102"/>
      <c r="C413" s="102"/>
      <c r="D413" s="102"/>
      <c r="E413" s="102"/>
      <c r="F413" s="102"/>
      <c r="G413" s="102"/>
      <c r="H413" s="102"/>
      <c r="I413" s="102"/>
      <c r="J413" s="102"/>
      <c r="K413" s="104"/>
      <c r="L413" s="63" t="str">
        <f t="shared" ca="1" si="9"/>
        <v/>
      </c>
      <c r="M413" s="104"/>
      <c r="N413" s="105"/>
      <c r="O413" s="104"/>
      <c r="P413" s="102"/>
      <c r="Q413" s="111"/>
      <c r="R413" s="118"/>
      <c r="S413" s="107"/>
      <c r="T413" s="102"/>
      <c r="U413" s="102"/>
      <c r="V413" s="102"/>
      <c r="W413" s="105"/>
      <c r="X413" s="105"/>
      <c r="Y413" s="105"/>
      <c r="Z413" s="105"/>
      <c r="AA413" s="105"/>
      <c r="AB413" s="105"/>
      <c r="AC413" s="109"/>
      <c r="AD413" s="107"/>
      <c r="AE413" s="102"/>
      <c r="AF413" s="109"/>
      <c r="AG413" s="107"/>
      <c r="AH413" s="111"/>
      <c r="AI413" s="111"/>
      <c r="AJ413" s="131" t="str">
        <f t="shared" ca="1" si="10"/>
        <v/>
      </c>
      <c r="AK413" s="102"/>
      <c r="AL413" s="102"/>
      <c r="AM413" s="105"/>
      <c r="AN413" s="105"/>
      <c r="AO413" s="105"/>
      <c r="AP413" s="109"/>
      <c r="AQ413" s="112"/>
      <c r="AR413" s="102"/>
      <c r="AS413" s="102"/>
      <c r="AT413" s="113"/>
      <c r="AU413" s="108"/>
      <c r="AV413" s="107"/>
      <c r="AW413" s="109"/>
      <c r="AX413" s="115">
        <f t="shared" si="11"/>
        <v>1900</v>
      </c>
      <c r="AY413" s="115">
        <f t="shared" si="12"/>
        <v>1900</v>
      </c>
    </row>
    <row r="414" spans="1:51" ht="22.5" customHeight="1">
      <c r="A414" s="102"/>
      <c r="B414" s="102"/>
      <c r="C414" s="102"/>
      <c r="D414" s="102"/>
      <c r="E414" s="102"/>
      <c r="F414" s="102"/>
      <c r="G414" s="102"/>
      <c r="H414" s="102"/>
      <c r="I414" s="102"/>
      <c r="J414" s="102"/>
      <c r="K414" s="104"/>
      <c r="L414" s="63" t="str">
        <f t="shared" ca="1" si="9"/>
        <v/>
      </c>
      <c r="M414" s="104"/>
      <c r="N414" s="105"/>
      <c r="O414" s="104"/>
      <c r="P414" s="102"/>
      <c r="Q414" s="111"/>
      <c r="R414" s="118"/>
      <c r="S414" s="107"/>
      <c r="T414" s="102"/>
      <c r="U414" s="102"/>
      <c r="V414" s="102"/>
      <c r="W414" s="105"/>
      <c r="X414" s="105"/>
      <c r="Y414" s="105"/>
      <c r="Z414" s="105"/>
      <c r="AA414" s="105"/>
      <c r="AB414" s="105"/>
      <c r="AC414" s="109"/>
      <c r="AD414" s="107"/>
      <c r="AE414" s="102"/>
      <c r="AF414" s="109"/>
      <c r="AG414" s="107"/>
      <c r="AH414" s="111"/>
      <c r="AI414" s="111"/>
      <c r="AJ414" s="131" t="str">
        <f t="shared" ca="1" si="10"/>
        <v/>
      </c>
      <c r="AK414" s="102"/>
      <c r="AL414" s="102"/>
      <c r="AM414" s="105"/>
      <c r="AN414" s="105"/>
      <c r="AO414" s="105"/>
      <c r="AP414" s="109"/>
      <c r="AQ414" s="112"/>
      <c r="AR414" s="102"/>
      <c r="AS414" s="102"/>
      <c r="AT414" s="113"/>
      <c r="AU414" s="108"/>
      <c r="AV414" s="107"/>
      <c r="AW414" s="109"/>
      <c r="AX414" s="115">
        <f t="shared" si="11"/>
        <v>1900</v>
      </c>
      <c r="AY414" s="115">
        <f t="shared" si="12"/>
        <v>1900</v>
      </c>
    </row>
    <row r="415" spans="1:51" ht="22.5" customHeight="1">
      <c r="A415" s="102"/>
      <c r="B415" s="102"/>
      <c r="C415" s="102"/>
      <c r="D415" s="102"/>
      <c r="E415" s="102"/>
      <c r="F415" s="102"/>
      <c r="G415" s="102"/>
      <c r="H415" s="102"/>
      <c r="I415" s="102"/>
      <c r="J415" s="102"/>
      <c r="K415" s="104"/>
      <c r="L415" s="63" t="str">
        <f t="shared" ca="1" si="9"/>
        <v/>
      </c>
      <c r="M415" s="104"/>
      <c r="N415" s="105"/>
      <c r="O415" s="104"/>
      <c r="P415" s="102"/>
      <c r="Q415" s="111"/>
      <c r="R415" s="118"/>
      <c r="S415" s="107"/>
      <c r="T415" s="102"/>
      <c r="U415" s="102"/>
      <c r="V415" s="102"/>
      <c r="W415" s="105"/>
      <c r="X415" s="105"/>
      <c r="Y415" s="105"/>
      <c r="Z415" s="105"/>
      <c r="AA415" s="105"/>
      <c r="AB415" s="105"/>
      <c r="AC415" s="109"/>
      <c r="AD415" s="107"/>
      <c r="AE415" s="102"/>
      <c r="AF415" s="109"/>
      <c r="AG415" s="107"/>
      <c r="AH415" s="111"/>
      <c r="AI415" s="111"/>
      <c r="AJ415" s="131" t="str">
        <f t="shared" ca="1" si="10"/>
        <v/>
      </c>
      <c r="AK415" s="102"/>
      <c r="AL415" s="102"/>
      <c r="AM415" s="105"/>
      <c r="AN415" s="105"/>
      <c r="AO415" s="105"/>
      <c r="AP415" s="109"/>
      <c r="AQ415" s="112"/>
      <c r="AR415" s="102"/>
      <c r="AS415" s="102"/>
      <c r="AT415" s="113"/>
      <c r="AU415" s="108"/>
      <c r="AV415" s="107"/>
      <c r="AW415" s="109"/>
      <c r="AX415" s="115">
        <f t="shared" si="11"/>
        <v>1900</v>
      </c>
      <c r="AY415" s="115">
        <f t="shared" si="12"/>
        <v>1900</v>
      </c>
    </row>
    <row r="416" spans="1:51" ht="22.5" customHeight="1">
      <c r="A416" s="102"/>
      <c r="B416" s="102"/>
      <c r="C416" s="102"/>
      <c r="D416" s="102"/>
      <c r="E416" s="102"/>
      <c r="F416" s="102"/>
      <c r="G416" s="102"/>
      <c r="H416" s="102"/>
      <c r="I416" s="102"/>
      <c r="J416" s="102"/>
      <c r="K416" s="104"/>
      <c r="L416" s="63" t="str">
        <f t="shared" ca="1" si="9"/>
        <v/>
      </c>
      <c r="M416" s="104"/>
      <c r="N416" s="105"/>
      <c r="O416" s="104"/>
      <c r="P416" s="102"/>
      <c r="Q416" s="111"/>
      <c r="R416" s="118"/>
      <c r="S416" s="107"/>
      <c r="T416" s="102"/>
      <c r="U416" s="102"/>
      <c r="V416" s="102"/>
      <c r="W416" s="105"/>
      <c r="X416" s="105"/>
      <c r="Y416" s="105"/>
      <c r="Z416" s="105"/>
      <c r="AA416" s="105"/>
      <c r="AB416" s="105"/>
      <c r="AC416" s="109"/>
      <c r="AD416" s="107"/>
      <c r="AE416" s="102"/>
      <c r="AF416" s="109"/>
      <c r="AG416" s="107"/>
      <c r="AH416" s="111"/>
      <c r="AI416" s="111"/>
      <c r="AJ416" s="131" t="str">
        <f t="shared" ca="1" si="10"/>
        <v/>
      </c>
      <c r="AK416" s="102"/>
      <c r="AL416" s="102"/>
      <c r="AM416" s="105"/>
      <c r="AN416" s="105"/>
      <c r="AO416" s="105"/>
      <c r="AP416" s="109"/>
      <c r="AQ416" s="112"/>
      <c r="AR416" s="102"/>
      <c r="AS416" s="102"/>
      <c r="AT416" s="113"/>
      <c r="AU416" s="108"/>
      <c r="AV416" s="107"/>
      <c r="AW416" s="109"/>
      <c r="AX416" s="115">
        <f t="shared" si="11"/>
        <v>1900</v>
      </c>
      <c r="AY416" s="115">
        <f t="shared" si="12"/>
        <v>1900</v>
      </c>
    </row>
    <row r="417" spans="1:51" ht="22.5" customHeight="1">
      <c r="A417" s="102"/>
      <c r="B417" s="102"/>
      <c r="C417" s="102"/>
      <c r="D417" s="102"/>
      <c r="E417" s="102"/>
      <c r="F417" s="102"/>
      <c r="G417" s="102"/>
      <c r="H417" s="102"/>
      <c r="I417" s="102"/>
      <c r="J417" s="102"/>
      <c r="K417" s="104"/>
      <c r="L417" s="63" t="str">
        <f t="shared" ca="1" si="9"/>
        <v/>
      </c>
      <c r="M417" s="104"/>
      <c r="N417" s="105"/>
      <c r="O417" s="104"/>
      <c r="P417" s="102"/>
      <c r="Q417" s="111"/>
      <c r="R417" s="118"/>
      <c r="S417" s="107"/>
      <c r="T417" s="102"/>
      <c r="U417" s="102"/>
      <c r="V417" s="102"/>
      <c r="W417" s="105"/>
      <c r="X417" s="105"/>
      <c r="Y417" s="105"/>
      <c r="Z417" s="105"/>
      <c r="AA417" s="105"/>
      <c r="AB417" s="105"/>
      <c r="AC417" s="109"/>
      <c r="AD417" s="107"/>
      <c r="AE417" s="102"/>
      <c r="AF417" s="109"/>
      <c r="AG417" s="107"/>
      <c r="AH417" s="111"/>
      <c r="AI417" s="111"/>
      <c r="AJ417" s="131" t="str">
        <f t="shared" ca="1" si="10"/>
        <v/>
      </c>
      <c r="AK417" s="102"/>
      <c r="AL417" s="102"/>
      <c r="AM417" s="105"/>
      <c r="AN417" s="105"/>
      <c r="AO417" s="105"/>
      <c r="AP417" s="109"/>
      <c r="AQ417" s="112"/>
      <c r="AR417" s="102"/>
      <c r="AS417" s="102"/>
      <c r="AT417" s="113"/>
      <c r="AU417" s="108"/>
      <c r="AV417" s="107"/>
      <c r="AW417" s="109"/>
      <c r="AX417" s="115">
        <f t="shared" si="11"/>
        <v>1900</v>
      </c>
      <c r="AY417" s="115">
        <f t="shared" si="12"/>
        <v>1900</v>
      </c>
    </row>
    <row r="418" spans="1:51" ht="22.5" customHeight="1">
      <c r="A418" s="102"/>
      <c r="B418" s="102"/>
      <c r="C418" s="102"/>
      <c r="D418" s="102"/>
      <c r="E418" s="102"/>
      <c r="F418" s="102"/>
      <c r="G418" s="102"/>
      <c r="H418" s="102"/>
      <c r="I418" s="102"/>
      <c r="J418" s="102"/>
      <c r="K418" s="104"/>
      <c r="L418" s="63" t="str">
        <f t="shared" ca="1" si="9"/>
        <v/>
      </c>
      <c r="M418" s="104"/>
      <c r="N418" s="105"/>
      <c r="O418" s="104"/>
      <c r="P418" s="102"/>
      <c r="Q418" s="111"/>
      <c r="R418" s="118"/>
      <c r="S418" s="107"/>
      <c r="T418" s="102"/>
      <c r="U418" s="102"/>
      <c r="V418" s="102"/>
      <c r="W418" s="105"/>
      <c r="X418" s="105"/>
      <c r="Y418" s="105"/>
      <c r="Z418" s="105"/>
      <c r="AA418" s="105"/>
      <c r="AB418" s="105"/>
      <c r="AC418" s="109"/>
      <c r="AD418" s="107"/>
      <c r="AE418" s="102"/>
      <c r="AF418" s="109"/>
      <c r="AG418" s="107"/>
      <c r="AH418" s="111"/>
      <c r="AI418" s="111"/>
      <c r="AJ418" s="131" t="str">
        <f t="shared" ca="1" si="10"/>
        <v/>
      </c>
      <c r="AK418" s="102"/>
      <c r="AL418" s="102"/>
      <c r="AM418" s="105"/>
      <c r="AN418" s="105"/>
      <c r="AO418" s="105"/>
      <c r="AP418" s="109"/>
      <c r="AQ418" s="112"/>
      <c r="AR418" s="102"/>
      <c r="AS418" s="102"/>
      <c r="AT418" s="113"/>
      <c r="AU418" s="108"/>
      <c r="AV418" s="107"/>
      <c r="AW418" s="109"/>
      <c r="AX418" s="115">
        <f t="shared" si="11"/>
        <v>1900</v>
      </c>
      <c r="AY418" s="115">
        <f t="shared" si="12"/>
        <v>1900</v>
      </c>
    </row>
    <row r="419" spans="1:51" ht="22.5" customHeight="1">
      <c r="A419" s="102"/>
      <c r="B419" s="102"/>
      <c r="C419" s="102"/>
      <c r="D419" s="102"/>
      <c r="E419" s="102"/>
      <c r="F419" s="102"/>
      <c r="G419" s="102"/>
      <c r="H419" s="102"/>
      <c r="I419" s="102"/>
      <c r="J419" s="102"/>
      <c r="K419" s="104"/>
      <c r="L419" s="63" t="str">
        <f t="shared" ca="1" si="9"/>
        <v/>
      </c>
      <c r="M419" s="104"/>
      <c r="N419" s="105"/>
      <c r="O419" s="104"/>
      <c r="P419" s="102"/>
      <c r="Q419" s="111"/>
      <c r="R419" s="118"/>
      <c r="S419" s="107"/>
      <c r="T419" s="102"/>
      <c r="U419" s="102"/>
      <c r="V419" s="102"/>
      <c r="W419" s="105"/>
      <c r="X419" s="105"/>
      <c r="Y419" s="105"/>
      <c r="Z419" s="105"/>
      <c r="AA419" s="105"/>
      <c r="AB419" s="105"/>
      <c r="AC419" s="109"/>
      <c r="AD419" s="107"/>
      <c r="AE419" s="102"/>
      <c r="AF419" s="109"/>
      <c r="AG419" s="107"/>
      <c r="AH419" s="111"/>
      <c r="AI419" s="111"/>
      <c r="AJ419" s="131" t="str">
        <f t="shared" ca="1" si="10"/>
        <v/>
      </c>
      <c r="AK419" s="102"/>
      <c r="AL419" s="102"/>
      <c r="AM419" s="105"/>
      <c r="AN419" s="105"/>
      <c r="AO419" s="105"/>
      <c r="AP419" s="109"/>
      <c r="AQ419" s="112"/>
      <c r="AR419" s="102"/>
      <c r="AS419" s="102"/>
      <c r="AT419" s="113"/>
      <c r="AU419" s="108"/>
      <c r="AV419" s="107"/>
      <c r="AW419" s="109"/>
      <c r="AX419" s="115">
        <f t="shared" si="11"/>
        <v>1900</v>
      </c>
      <c r="AY419" s="115">
        <f t="shared" si="12"/>
        <v>1900</v>
      </c>
    </row>
    <row r="420" spans="1:51" ht="22.5" customHeight="1">
      <c r="A420" s="102"/>
      <c r="B420" s="102"/>
      <c r="C420" s="102"/>
      <c r="D420" s="102"/>
      <c r="E420" s="102"/>
      <c r="F420" s="102"/>
      <c r="G420" s="102"/>
      <c r="H420" s="102"/>
      <c r="I420" s="102"/>
      <c r="J420" s="102"/>
      <c r="K420" s="104"/>
      <c r="L420" s="63" t="str">
        <f t="shared" ca="1" si="9"/>
        <v/>
      </c>
      <c r="M420" s="104"/>
      <c r="N420" s="105"/>
      <c r="O420" s="104"/>
      <c r="P420" s="102"/>
      <c r="Q420" s="111"/>
      <c r="R420" s="118"/>
      <c r="S420" s="107"/>
      <c r="T420" s="102"/>
      <c r="U420" s="102"/>
      <c r="V420" s="102"/>
      <c r="W420" s="105"/>
      <c r="X420" s="105"/>
      <c r="Y420" s="105"/>
      <c r="Z420" s="105"/>
      <c r="AA420" s="105"/>
      <c r="AB420" s="105"/>
      <c r="AC420" s="109"/>
      <c r="AD420" s="107"/>
      <c r="AE420" s="102"/>
      <c r="AF420" s="109"/>
      <c r="AG420" s="107"/>
      <c r="AH420" s="111"/>
      <c r="AI420" s="111"/>
      <c r="AJ420" s="131" t="str">
        <f t="shared" ca="1" si="10"/>
        <v/>
      </c>
      <c r="AK420" s="102"/>
      <c r="AL420" s="102"/>
      <c r="AM420" s="105"/>
      <c r="AN420" s="105"/>
      <c r="AO420" s="105"/>
      <c r="AP420" s="109"/>
      <c r="AQ420" s="112"/>
      <c r="AR420" s="102"/>
      <c r="AS420" s="102"/>
      <c r="AT420" s="113"/>
      <c r="AU420" s="108"/>
      <c r="AV420" s="107"/>
      <c r="AW420" s="109"/>
      <c r="AX420" s="115">
        <f t="shared" si="11"/>
        <v>1900</v>
      </c>
      <c r="AY420" s="115">
        <f t="shared" si="12"/>
        <v>1900</v>
      </c>
    </row>
    <row r="421" spans="1:51" ht="22.5" customHeight="1">
      <c r="A421" s="102"/>
      <c r="B421" s="102"/>
      <c r="C421" s="102"/>
      <c r="D421" s="102"/>
      <c r="E421" s="102"/>
      <c r="F421" s="102"/>
      <c r="G421" s="102"/>
      <c r="H421" s="102"/>
      <c r="I421" s="102"/>
      <c r="J421" s="102"/>
      <c r="K421" s="104"/>
      <c r="L421" s="63" t="str">
        <f t="shared" ca="1" si="9"/>
        <v/>
      </c>
      <c r="M421" s="104"/>
      <c r="N421" s="105"/>
      <c r="O421" s="104"/>
      <c r="P421" s="102"/>
      <c r="Q421" s="111"/>
      <c r="R421" s="118"/>
      <c r="S421" s="107"/>
      <c r="T421" s="102"/>
      <c r="U421" s="102"/>
      <c r="V421" s="102"/>
      <c r="W421" s="105"/>
      <c r="X421" s="105"/>
      <c r="Y421" s="105"/>
      <c r="Z421" s="105"/>
      <c r="AA421" s="105"/>
      <c r="AB421" s="105"/>
      <c r="AC421" s="109"/>
      <c r="AD421" s="107"/>
      <c r="AE421" s="102"/>
      <c r="AF421" s="109"/>
      <c r="AG421" s="107"/>
      <c r="AH421" s="111"/>
      <c r="AI421" s="111"/>
      <c r="AJ421" s="131" t="str">
        <f t="shared" ca="1" si="10"/>
        <v/>
      </c>
      <c r="AK421" s="102"/>
      <c r="AL421" s="102"/>
      <c r="AM421" s="105"/>
      <c r="AN421" s="105"/>
      <c r="AO421" s="105"/>
      <c r="AP421" s="109"/>
      <c r="AQ421" s="112"/>
      <c r="AR421" s="102"/>
      <c r="AS421" s="102"/>
      <c r="AT421" s="113"/>
      <c r="AU421" s="108"/>
      <c r="AV421" s="107"/>
      <c r="AW421" s="109"/>
      <c r="AX421" s="115">
        <f t="shared" si="11"/>
        <v>1900</v>
      </c>
      <c r="AY421" s="115">
        <f t="shared" si="12"/>
        <v>1900</v>
      </c>
    </row>
    <row r="422" spans="1:51" ht="22.5" customHeight="1">
      <c r="A422" s="102"/>
      <c r="B422" s="102"/>
      <c r="C422" s="102"/>
      <c r="D422" s="102"/>
      <c r="E422" s="102"/>
      <c r="F422" s="102"/>
      <c r="G422" s="102"/>
      <c r="H422" s="102"/>
      <c r="I422" s="102"/>
      <c r="J422" s="102"/>
      <c r="K422" s="104"/>
      <c r="L422" s="63" t="str">
        <f t="shared" ca="1" si="9"/>
        <v/>
      </c>
      <c r="M422" s="104"/>
      <c r="N422" s="105"/>
      <c r="O422" s="104"/>
      <c r="P422" s="102"/>
      <c r="Q422" s="111"/>
      <c r="R422" s="118"/>
      <c r="S422" s="107"/>
      <c r="T422" s="102"/>
      <c r="U422" s="102"/>
      <c r="V422" s="102"/>
      <c r="W422" s="105"/>
      <c r="X422" s="105"/>
      <c r="Y422" s="105"/>
      <c r="Z422" s="105"/>
      <c r="AA422" s="105"/>
      <c r="AB422" s="105"/>
      <c r="AC422" s="109"/>
      <c r="AD422" s="107"/>
      <c r="AE422" s="102"/>
      <c r="AF422" s="109"/>
      <c r="AG422" s="107"/>
      <c r="AH422" s="111"/>
      <c r="AI422" s="111"/>
      <c r="AJ422" s="131" t="str">
        <f t="shared" ca="1" si="10"/>
        <v/>
      </c>
      <c r="AK422" s="102"/>
      <c r="AL422" s="102"/>
      <c r="AM422" s="105"/>
      <c r="AN422" s="105"/>
      <c r="AO422" s="105"/>
      <c r="AP422" s="109"/>
      <c r="AQ422" s="112"/>
      <c r="AR422" s="102"/>
      <c r="AS422" s="102"/>
      <c r="AT422" s="113"/>
      <c r="AU422" s="108"/>
      <c r="AV422" s="107"/>
      <c r="AW422" s="109"/>
      <c r="AX422" s="115">
        <f t="shared" si="11"/>
        <v>1900</v>
      </c>
      <c r="AY422" s="115">
        <f t="shared" si="12"/>
        <v>1900</v>
      </c>
    </row>
    <row r="423" spans="1:51" ht="22.5" customHeight="1">
      <c r="A423" s="102"/>
      <c r="B423" s="102"/>
      <c r="C423" s="102"/>
      <c r="D423" s="102"/>
      <c r="E423" s="102"/>
      <c r="F423" s="102"/>
      <c r="G423" s="102"/>
      <c r="H423" s="102"/>
      <c r="I423" s="102"/>
      <c r="J423" s="102"/>
      <c r="K423" s="104"/>
      <c r="L423" s="63" t="str">
        <f t="shared" ca="1" si="9"/>
        <v/>
      </c>
      <c r="M423" s="104"/>
      <c r="N423" s="105"/>
      <c r="O423" s="104"/>
      <c r="P423" s="102"/>
      <c r="Q423" s="111"/>
      <c r="R423" s="118"/>
      <c r="S423" s="107"/>
      <c r="T423" s="102"/>
      <c r="U423" s="102"/>
      <c r="V423" s="102"/>
      <c r="W423" s="105"/>
      <c r="X423" s="105"/>
      <c r="Y423" s="105"/>
      <c r="Z423" s="105"/>
      <c r="AA423" s="105"/>
      <c r="AB423" s="105"/>
      <c r="AC423" s="109"/>
      <c r="AD423" s="107"/>
      <c r="AE423" s="102"/>
      <c r="AF423" s="109"/>
      <c r="AG423" s="107"/>
      <c r="AH423" s="111"/>
      <c r="AI423" s="111"/>
      <c r="AJ423" s="131" t="str">
        <f t="shared" ca="1" si="10"/>
        <v/>
      </c>
      <c r="AK423" s="102"/>
      <c r="AL423" s="102"/>
      <c r="AM423" s="105"/>
      <c r="AN423" s="105"/>
      <c r="AO423" s="105"/>
      <c r="AP423" s="109"/>
      <c r="AQ423" s="112"/>
      <c r="AR423" s="102"/>
      <c r="AS423" s="102"/>
      <c r="AT423" s="113"/>
      <c r="AU423" s="108"/>
      <c r="AV423" s="107"/>
      <c r="AW423" s="109"/>
      <c r="AX423" s="115">
        <f t="shared" si="11"/>
        <v>1900</v>
      </c>
      <c r="AY423" s="115">
        <f t="shared" si="12"/>
        <v>1900</v>
      </c>
    </row>
    <row r="424" spans="1:51" ht="22.5" customHeight="1">
      <c r="A424" s="102"/>
      <c r="B424" s="102"/>
      <c r="C424" s="102"/>
      <c r="D424" s="102"/>
      <c r="E424" s="102"/>
      <c r="F424" s="102"/>
      <c r="G424" s="102"/>
      <c r="H424" s="102"/>
      <c r="I424" s="102"/>
      <c r="J424" s="102"/>
      <c r="K424" s="104"/>
      <c r="L424" s="63" t="str">
        <f t="shared" ca="1" si="9"/>
        <v/>
      </c>
      <c r="M424" s="104"/>
      <c r="N424" s="105"/>
      <c r="O424" s="104"/>
      <c r="P424" s="102"/>
      <c r="Q424" s="111"/>
      <c r="R424" s="118"/>
      <c r="S424" s="107"/>
      <c r="T424" s="102"/>
      <c r="U424" s="102"/>
      <c r="V424" s="102"/>
      <c r="W424" s="105"/>
      <c r="X424" s="105"/>
      <c r="Y424" s="105"/>
      <c r="Z424" s="105"/>
      <c r="AA424" s="105"/>
      <c r="AB424" s="105"/>
      <c r="AC424" s="109"/>
      <c r="AD424" s="107"/>
      <c r="AE424" s="102"/>
      <c r="AF424" s="109"/>
      <c r="AG424" s="107"/>
      <c r="AH424" s="111"/>
      <c r="AI424" s="111"/>
      <c r="AJ424" s="131" t="str">
        <f t="shared" ca="1" si="10"/>
        <v/>
      </c>
      <c r="AK424" s="102"/>
      <c r="AL424" s="102"/>
      <c r="AM424" s="105"/>
      <c r="AN424" s="105"/>
      <c r="AO424" s="105"/>
      <c r="AP424" s="109"/>
      <c r="AQ424" s="112"/>
      <c r="AR424" s="102"/>
      <c r="AS424" s="102"/>
      <c r="AT424" s="113"/>
      <c r="AU424" s="108"/>
      <c r="AV424" s="107"/>
      <c r="AW424" s="109"/>
      <c r="AX424" s="115">
        <f t="shared" si="11"/>
        <v>1900</v>
      </c>
      <c r="AY424" s="115">
        <f t="shared" si="12"/>
        <v>1900</v>
      </c>
    </row>
    <row r="425" spans="1:51" ht="22.5" customHeight="1">
      <c r="A425" s="102"/>
      <c r="B425" s="102"/>
      <c r="C425" s="102"/>
      <c r="D425" s="102"/>
      <c r="E425" s="102"/>
      <c r="F425" s="102"/>
      <c r="G425" s="102"/>
      <c r="H425" s="102"/>
      <c r="I425" s="102"/>
      <c r="J425" s="102"/>
      <c r="K425" s="104"/>
      <c r="L425" s="63" t="str">
        <f t="shared" ca="1" si="9"/>
        <v/>
      </c>
      <c r="M425" s="104"/>
      <c r="N425" s="105"/>
      <c r="O425" s="104"/>
      <c r="P425" s="102"/>
      <c r="Q425" s="111"/>
      <c r="R425" s="118"/>
      <c r="S425" s="107"/>
      <c r="T425" s="102"/>
      <c r="U425" s="102"/>
      <c r="V425" s="102"/>
      <c r="W425" s="105"/>
      <c r="X425" s="105"/>
      <c r="Y425" s="105"/>
      <c r="Z425" s="105"/>
      <c r="AA425" s="105"/>
      <c r="AB425" s="105"/>
      <c r="AC425" s="109"/>
      <c r="AD425" s="107"/>
      <c r="AE425" s="102"/>
      <c r="AF425" s="109"/>
      <c r="AG425" s="107"/>
      <c r="AH425" s="111"/>
      <c r="AI425" s="111"/>
      <c r="AJ425" s="131" t="str">
        <f t="shared" ca="1" si="10"/>
        <v/>
      </c>
      <c r="AK425" s="102"/>
      <c r="AL425" s="102"/>
      <c r="AM425" s="105"/>
      <c r="AN425" s="105"/>
      <c r="AO425" s="105"/>
      <c r="AP425" s="109"/>
      <c r="AQ425" s="112"/>
      <c r="AR425" s="102"/>
      <c r="AS425" s="102"/>
      <c r="AT425" s="113"/>
      <c r="AU425" s="108"/>
      <c r="AV425" s="107"/>
      <c r="AW425" s="109"/>
      <c r="AX425" s="115">
        <f t="shared" si="11"/>
        <v>1900</v>
      </c>
      <c r="AY425" s="115">
        <f t="shared" si="12"/>
        <v>1900</v>
      </c>
    </row>
    <row r="426" spans="1:51" ht="22.5" customHeight="1">
      <c r="A426" s="102"/>
      <c r="B426" s="102"/>
      <c r="C426" s="102"/>
      <c r="D426" s="102"/>
      <c r="E426" s="102"/>
      <c r="F426" s="102"/>
      <c r="G426" s="102"/>
      <c r="H426" s="102"/>
      <c r="I426" s="102"/>
      <c r="J426" s="102"/>
      <c r="K426" s="104"/>
      <c r="L426" s="63" t="str">
        <f t="shared" ca="1" si="9"/>
        <v/>
      </c>
      <c r="M426" s="104"/>
      <c r="N426" s="105"/>
      <c r="O426" s="104"/>
      <c r="P426" s="102"/>
      <c r="Q426" s="111"/>
      <c r="R426" s="118"/>
      <c r="S426" s="107"/>
      <c r="T426" s="102"/>
      <c r="U426" s="102"/>
      <c r="V426" s="102"/>
      <c r="W426" s="105"/>
      <c r="X426" s="105"/>
      <c r="Y426" s="105"/>
      <c r="Z426" s="105"/>
      <c r="AA426" s="105"/>
      <c r="AB426" s="105"/>
      <c r="AC426" s="109"/>
      <c r="AD426" s="107"/>
      <c r="AE426" s="102"/>
      <c r="AF426" s="109"/>
      <c r="AG426" s="107"/>
      <c r="AH426" s="111"/>
      <c r="AI426" s="111"/>
      <c r="AJ426" s="131" t="str">
        <f t="shared" ca="1" si="10"/>
        <v/>
      </c>
      <c r="AK426" s="102"/>
      <c r="AL426" s="102"/>
      <c r="AM426" s="105"/>
      <c r="AN426" s="105"/>
      <c r="AO426" s="105"/>
      <c r="AP426" s="109"/>
      <c r="AQ426" s="112"/>
      <c r="AR426" s="102"/>
      <c r="AS426" s="102"/>
      <c r="AT426" s="113"/>
      <c r="AU426" s="108"/>
      <c r="AV426" s="107"/>
      <c r="AW426" s="109"/>
      <c r="AX426" s="115">
        <f t="shared" si="11"/>
        <v>1900</v>
      </c>
      <c r="AY426" s="115">
        <f t="shared" si="12"/>
        <v>1900</v>
      </c>
    </row>
    <row r="427" spans="1:51" ht="22.5" customHeight="1">
      <c r="A427" s="102"/>
      <c r="B427" s="102"/>
      <c r="C427" s="102"/>
      <c r="D427" s="102"/>
      <c r="E427" s="102"/>
      <c r="F427" s="102"/>
      <c r="G427" s="102"/>
      <c r="H427" s="102"/>
      <c r="I427" s="102"/>
      <c r="J427" s="102"/>
      <c r="K427" s="104"/>
      <c r="L427" s="63" t="str">
        <f t="shared" ca="1" si="9"/>
        <v/>
      </c>
      <c r="M427" s="104"/>
      <c r="N427" s="105"/>
      <c r="O427" s="104"/>
      <c r="P427" s="102"/>
      <c r="Q427" s="111"/>
      <c r="R427" s="118"/>
      <c r="S427" s="107"/>
      <c r="T427" s="102"/>
      <c r="U427" s="102"/>
      <c r="V427" s="102"/>
      <c r="W427" s="105"/>
      <c r="X427" s="105"/>
      <c r="Y427" s="105"/>
      <c r="Z427" s="105"/>
      <c r="AA427" s="105"/>
      <c r="AB427" s="105"/>
      <c r="AC427" s="109"/>
      <c r="AD427" s="107"/>
      <c r="AE427" s="102"/>
      <c r="AF427" s="109"/>
      <c r="AG427" s="107"/>
      <c r="AH427" s="111"/>
      <c r="AI427" s="111"/>
      <c r="AJ427" s="131" t="str">
        <f t="shared" ca="1" si="10"/>
        <v/>
      </c>
      <c r="AK427" s="102"/>
      <c r="AL427" s="102"/>
      <c r="AM427" s="105"/>
      <c r="AN427" s="105"/>
      <c r="AO427" s="105"/>
      <c r="AP427" s="109"/>
      <c r="AQ427" s="112"/>
      <c r="AR427" s="102"/>
      <c r="AS427" s="102"/>
      <c r="AT427" s="113"/>
      <c r="AU427" s="108"/>
      <c r="AV427" s="107"/>
      <c r="AW427" s="109"/>
      <c r="AX427" s="115">
        <f t="shared" si="11"/>
        <v>1900</v>
      </c>
      <c r="AY427" s="115">
        <f t="shared" si="12"/>
        <v>1900</v>
      </c>
    </row>
    <row r="428" spans="1:51" ht="22.5" customHeight="1">
      <c r="A428" s="102"/>
      <c r="B428" s="102"/>
      <c r="C428" s="102"/>
      <c r="D428" s="102"/>
      <c r="E428" s="102"/>
      <c r="F428" s="102"/>
      <c r="G428" s="102"/>
      <c r="H428" s="102"/>
      <c r="I428" s="102"/>
      <c r="J428" s="102"/>
      <c r="K428" s="104"/>
      <c r="L428" s="63" t="str">
        <f t="shared" ca="1" si="9"/>
        <v/>
      </c>
      <c r="M428" s="104"/>
      <c r="N428" s="105"/>
      <c r="O428" s="104"/>
      <c r="P428" s="102"/>
      <c r="Q428" s="111"/>
      <c r="R428" s="118"/>
      <c r="S428" s="107"/>
      <c r="T428" s="102"/>
      <c r="U428" s="102"/>
      <c r="V428" s="102"/>
      <c r="W428" s="105"/>
      <c r="X428" s="105"/>
      <c r="Y428" s="105"/>
      <c r="Z428" s="105"/>
      <c r="AA428" s="105"/>
      <c r="AB428" s="105"/>
      <c r="AC428" s="109"/>
      <c r="AD428" s="107"/>
      <c r="AE428" s="102"/>
      <c r="AF428" s="109"/>
      <c r="AG428" s="107"/>
      <c r="AH428" s="111"/>
      <c r="AI428" s="111"/>
      <c r="AJ428" s="131" t="str">
        <f t="shared" ca="1" si="10"/>
        <v/>
      </c>
      <c r="AK428" s="102"/>
      <c r="AL428" s="102"/>
      <c r="AM428" s="105"/>
      <c r="AN428" s="105"/>
      <c r="AO428" s="105"/>
      <c r="AP428" s="109"/>
      <c r="AQ428" s="112"/>
      <c r="AR428" s="102"/>
      <c r="AS428" s="102"/>
      <c r="AT428" s="113"/>
      <c r="AU428" s="108"/>
      <c r="AV428" s="107"/>
      <c r="AW428" s="109"/>
      <c r="AX428" s="115">
        <f t="shared" si="11"/>
        <v>1900</v>
      </c>
      <c r="AY428" s="115">
        <f t="shared" si="12"/>
        <v>1900</v>
      </c>
    </row>
    <row r="429" spans="1:51" ht="22.5" customHeight="1">
      <c r="A429" s="102"/>
      <c r="B429" s="102"/>
      <c r="C429" s="102"/>
      <c r="D429" s="102"/>
      <c r="E429" s="102"/>
      <c r="F429" s="102"/>
      <c r="G429" s="102"/>
      <c r="H429" s="102"/>
      <c r="I429" s="102"/>
      <c r="J429" s="102"/>
      <c r="K429" s="104"/>
      <c r="L429" s="63" t="str">
        <f t="shared" ca="1" si="9"/>
        <v/>
      </c>
      <c r="M429" s="104"/>
      <c r="N429" s="105"/>
      <c r="O429" s="104"/>
      <c r="P429" s="102"/>
      <c r="Q429" s="111"/>
      <c r="R429" s="118"/>
      <c r="S429" s="107"/>
      <c r="T429" s="102"/>
      <c r="U429" s="102"/>
      <c r="V429" s="102"/>
      <c r="W429" s="105"/>
      <c r="X429" s="105"/>
      <c r="Y429" s="105"/>
      <c r="Z429" s="105"/>
      <c r="AA429" s="105"/>
      <c r="AB429" s="105"/>
      <c r="AC429" s="109"/>
      <c r="AD429" s="107"/>
      <c r="AE429" s="102"/>
      <c r="AF429" s="109"/>
      <c r="AG429" s="107"/>
      <c r="AH429" s="111"/>
      <c r="AI429" s="111"/>
      <c r="AJ429" s="131" t="str">
        <f t="shared" ca="1" si="10"/>
        <v/>
      </c>
      <c r="AK429" s="102"/>
      <c r="AL429" s="102"/>
      <c r="AM429" s="105"/>
      <c r="AN429" s="105"/>
      <c r="AO429" s="105"/>
      <c r="AP429" s="109"/>
      <c r="AQ429" s="112"/>
      <c r="AR429" s="102"/>
      <c r="AS429" s="102"/>
      <c r="AT429" s="113"/>
      <c r="AU429" s="108"/>
      <c r="AV429" s="107"/>
      <c r="AW429" s="109"/>
      <c r="AX429" s="115">
        <f t="shared" si="11"/>
        <v>1900</v>
      </c>
      <c r="AY429" s="115">
        <f t="shared" si="12"/>
        <v>1900</v>
      </c>
    </row>
    <row r="430" spans="1:51" ht="22.5" customHeight="1">
      <c r="A430" s="102"/>
      <c r="B430" s="102"/>
      <c r="C430" s="102"/>
      <c r="D430" s="102"/>
      <c r="E430" s="102"/>
      <c r="F430" s="102"/>
      <c r="G430" s="102"/>
      <c r="H430" s="102"/>
      <c r="I430" s="102"/>
      <c r="J430" s="102"/>
      <c r="K430" s="104"/>
      <c r="L430" s="63" t="str">
        <f t="shared" ca="1" si="9"/>
        <v/>
      </c>
      <c r="M430" s="104"/>
      <c r="N430" s="105"/>
      <c r="O430" s="104"/>
      <c r="P430" s="102"/>
      <c r="Q430" s="111"/>
      <c r="R430" s="118"/>
      <c r="S430" s="107"/>
      <c r="T430" s="102"/>
      <c r="U430" s="102"/>
      <c r="V430" s="102"/>
      <c r="W430" s="105"/>
      <c r="X430" s="105"/>
      <c r="Y430" s="105"/>
      <c r="Z430" s="105"/>
      <c r="AA430" s="105"/>
      <c r="AB430" s="105"/>
      <c r="AC430" s="109"/>
      <c r="AD430" s="107"/>
      <c r="AE430" s="102"/>
      <c r="AF430" s="109"/>
      <c r="AG430" s="107"/>
      <c r="AH430" s="111"/>
      <c r="AI430" s="111"/>
      <c r="AJ430" s="131" t="str">
        <f t="shared" ca="1" si="10"/>
        <v/>
      </c>
      <c r="AK430" s="102"/>
      <c r="AL430" s="102"/>
      <c r="AM430" s="105"/>
      <c r="AN430" s="105"/>
      <c r="AO430" s="105"/>
      <c r="AP430" s="109"/>
      <c r="AQ430" s="112"/>
      <c r="AR430" s="102"/>
      <c r="AS430" s="102"/>
      <c r="AT430" s="113"/>
      <c r="AU430" s="108"/>
      <c r="AV430" s="107"/>
      <c r="AW430" s="109"/>
      <c r="AX430" s="115">
        <f t="shared" si="11"/>
        <v>1900</v>
      </c>
      <c r="AY430" s="115">
        <f t="shared" si="12"/>
        <v>1900</v>
      </c>
    </row>
    <row r="431" spans="1:51" ht="22.5" customHeight="1">
      <c r="A431" s="102"/>
      <c r="B431" s="102"/>
      <c r="C431" s="102"/>
      <c r="D431" s="102"/>
      <c r="E431" s="102"/>
      <c r="F431" s="102"/>
      <c r="G431" s="102"/>
      <c r="H431" s="102"/>
      <c r="I431" s="102"/>
      <c r="J431" s="102"/>
      <c r="K431" s="104"/>
      <c r="L431" s="63" t="str">
        <f t="shared" ca="1" si="9"/>
        <v/>
      </c>
      <c r="M431" s="104"/>
      <c r="N431" s="105"/>
      <c r="O431" s="104"/>
      <c r="P431" s="102"/>
      <c r="Q431" s="111"/>
      <c r="R431" s="118"/>
      <c r="S431" s="107"/>
      <c r="T431" s="102"/>
      <c r="U431" s="102"/>
      <c r="V431" s="102"/>
      <c r="W431" s="105"/>
      <c r="X431" s="105"/>
      <c r="Y431" s="105"/>
      <c r="Z431" s="105"/>
      <c r="AA431" s="105"/>
      <c r="AB431" s="105"/>
      <c r="AC431" s="109"/>
      <c r="AD431" s="107"/>
      <c r="AE431" s="102"/>
      <c r="AF431" s="109"/>
      <c r="AG431" s="107"/>
      <c r="AH431" s="111"/>
      <c r="AI431" s="111"/>
      <c r="AJ431" s="131" t="str">
        <f t="shared" ca="1" si="10"/>
        <v/>
      </c>
      <c r="AK431" s="102"/>
      <c r="AL431" s="102"/>
      <c r="AM431" s="105"/>
      <c r="AN431" s="105"/>
      <c r="AO431" s="105"/>
      <c r="AP431" s="109"/>
      <c r="AQ431" s="112"/>
      <c r="AR431" s="102"/>
      <c r="AS431" s="102"/>
      <c r="AT431" s="113"/>
      <c r="AU431" s="108"/>
      <c r="AV431" s="107"/>
      <c r="AW431" s="109"/>
      <c r="AX431" s="115">
        <f t="shared" si="11"/>
        <v>1900</v>
      </c>
      <c r="AY431" s="115">
        <f t="shared" si="12"/>
        <v>1900</v>
      </c>
    </row>
    <row r="432" spans="1:51" ht="22.5" customHeight="1">
      <c r="A432" s="102"/>
      <c r="B432" s="102"/>
      <c r="C432" s="102"/>
      <c r="D432" s="102"/>
      <c r="E432" s="102"/>
      <c r="F432" s="102"/>
      <c r="G432" s="102"/>
      <c r="H432" s="102"/>
      <c r="I432" s="102"/>
      <c r="J432" s="102"/>
      <c r="K432" s="104"/>
      <c r="L432" s="63" t="str">
        <f t="shared" ca="1" si="9"/>
        <v/>
      </c>
      <c r="M432" s="104"/>
      <c r="N432" s="105"/>
      <c r="O432" s="104"/>
      <c r="P432" s="102"/>
      <c r="Q432" s="111"/>
      <c r="R432" s="118"/>
      <c r="S432" s="107"/>
      <c r="T432" s="102"/>
      <c r="U432" s="102"/>
      <c r="V432" s="102"/>
      <c r="W432" s="105"/>
      <c r="X432" s="105"/>
      <c r="Y432" s="105"/>
      <c r="Z432" s="105"/>
      <c r="AA432" s="105"/>
      <c r="AB432" s="105"/>
      <c r="AC432" s="109"/>
      <c r="AD432" s="107"/>
      <c r="AE432" s="102"/>
      <c r="AF432" s="109"/>
      <c r="AG432" s="107"/>
      <c r="AH432" s="111"/>
      <c r="AI432" s="111"/>
      <c r="AJ432" s="131" t="str">
        <f t="shared" ca="1" si="10"/>
        <v/>
      </c>
      <c r="AK432" s="102"/>
      <c r="AL432" s="102"/>
      <c r="AM432" s="105"/>
      <c r="AN432" s="105"/>
      <c r="AO432" s="105"/>
      <c r="AP432" s="109"/>
      <c r="AQ432" s="112"/>
      <c r="AR432" s="102"/>
      <c r="AS432" s="102"/>
      <c r="AT432" s="113"/>
      <c r="AU432" s="108"/>
      <c r="AV432" s="107"/>
      <c r="AW432" s="109"/>
      <c r="AX432" s="115">
        <f t="shared" si="11"/>
        <v>1900</v>
      </c>
      <c r="AY432" s="115">
        <f t="shared" si="12"/>
        <v>1900</v>
      </c>
    </row>
    <row r="433" spans="1:51" ht="22.5" customHeight="1">
      <c r="A433" s="102"/>
      <c r="B433" s="102"/>
      <c r="C433" s="102"/>
      <c r="D433" s="102"/>
      <c r="E433" s="102"/>
      <c r="F433" s="102"/>
      <c r="G433" s="102"/>
      <c r="H433" s="102"/>
      <c r="I433" s="102"/>
      <c r="J433" s="102"/>
      <c r="K433" s="104"/>
      <c r="L433" s="63" t="str">
        <f t="shared" ca="1" si="9"/>
        <v/>
      </c>
      <c r="M433" s="104"/>
      <c r="N433" s="105"/>
      <c r="O433" s="104"/>
      <c r="P433" s="102"/>
      <c r="Q433" s="111"/>
      <c r="R433" s="118"/>
      <c r="S433" s="107"/>
      <c r="T433" s="102"/>
      <c r="U433" s="102"/>
      <c r="V433" s="102"/>
      <c r="W433" s="105"/>
      <c r="X433" s="105"/>
      <c r="Y433" s="105"/>
      <c r="Z433" s="105"/>
      <c r="AA433" s="105"/>
      <c r="AB433" s="105"/>
      <c r="AC433" s="109"/>
      <c r="AD433" s="107"/>
      <c r="AE433" s="102"/>
      <c r="AF433" s="109"/>
      <c r="AG433" s="107"/>
      <c r="AH433" s="111"/>
      <c r="AI433" s="111"/>
      <c r="AJ433" s="131" t="str">
        <f t="shared" ca="1" si="10"/>
        <v/>
      </c>
      <c r="AK433" s="102"/>
      <c r="AL433" s="102"/>
      <c r="AM433" s="105"/>
      <c r="AN433" s="105"/>
      <c r="AO433" s="105"/>
      <c r="AP433" s="109"/>
      <c r="AQ433" s="112"/>
      <c r="AR433" s="102"/>
      <c r="AS433" s="102"/>
      <c r="AT433" s="113"/>
      <c r="AU433" s="108"/>
      <c r="AV433" s="107"/>
      <c r="AW433" s="109"/>
      <c r="AX433" s="115">
        <f t="shared" si="11"/>
        <v>1900</v>
      </c>
      <c r="AY433" s="115">
        <f t="shared" si="12"/>
        <v>1900</v>
      </c>
    </row>
    <row r="434" spans="1:51" ht="22.5" customHeight="1">
      <c r="A434" s="102"/>
      <c r="B434" s="102"/>
      <c r="C434" s="102"/>
      <c r="D434" s="102"/>
      <c r="E434" s="102"/>
      <c r="F434" s="102"/>
      <c r="G434" s="102"/>
      <c r="H434" s="102"/>
      <c r="I434" s="102"/>
      <c r="J434" s="102"/>
      <c r="K434" s="104"/>
      <c r="L434" s="63" t="str">
        <f t="shared" ca="1" si="9"/>
        <v/>
      </c>
      <c r="M434" s="104"/>
      <c r="N434" s="105"/>
      <c r="O434" s="104"/>
      <c r="P434" s="102"/>
      <c r="Q434" s="111"/>
      <c r="R434" s="118"/>
      <c r="S434" s="107"/>
      <c r="T434" s="102"/>
      <c r="U434" s="102"/>
      <c r="V434" s="102"/>
      <c r="W434" s="105"/>
      <c r="X434" s="105"/>
      <c r="Y434" s="105"/>
      <c r="Z434" s="105"/>
      <c r="AA434" s="105"/>
      <c r="AB434" s="105"/>
      <c r="AC434" s="109"/>
      <c r="AD434" s="107"/>
      <c r="AE434" s="102"/>
      <c r="AF434" s="109"/>
      <c r="AG434" s="107"/>
      <c r="AH434" s="111"/>
      <c r="AI434" s="111"/>
      <c r="AJ434" s="131" t="str">
        <f t="shared" ca="1" si="10"/>
        <v/>
      </c>
      <c r="AK434" s="102"/>
      <c r="AL434" s="102"/>
      <c r="AM434" s="105"/>
      <c r="AN434" s="105"/>
      <c r="AO434" s="105"/>
      <c r="AP434" s="109"/>
      <c r="AQ434" s="112"/>
      <c r="AR434" s="102"/>
      <c r="AS434" s="102"/>
      <c r="AT434" s="113"/>
      <c r="AU434" s="108"/>
      <c r="AV434" s="107"/>
      <c r="AW434" s="109"/>
      <c r="AX434" s="115">
        <f t="shared" si="11"/>
        <v>1900</v>
      </c>
      <c r="AY434" s="115">
        <f t="shared" si="12"/>
        <v>1900</v>
      </c>
    </row>
    <row r="435" spans="1:51" ht="22.5" customHeight="1">
      <c r="A435" s="102"/>
      <c r="B435" s="102"/>
      <c r="C435" s="102"/>
      <c r="D435" s="102"/>
      <c r="E435" s="102"/>
      <c r="F435" s="102"/>
      <c r="G435" s="102"/>
      <c r="H435" s="102"/>
      <c r="I435" s="102"/>
      <c r="J435" s="102"/>
      <c r="K435" s="104"/>
      <c r="L435" s="63" t="str">
        <f t="shared" ca="1" si="9"/>
        <v/>
      </c>
      <c r="M435" s="104"/>
      <c r="N435" s="105"/>
      <c r="O435" s="104"/>
      <c r="P435" s="102"/>
      <c r="Q435" s="111"/>
      <c r="R435" s="118"/>
      <c r="S435" s="107"/>
      <c r="T435" s="102"/>
      <c r="U435" s="102"/>
      <c r="V435" s="102"/>
      <c r="W435" s="105"/>
      <c r="X435" s="105"/>
      <c r="Y435" s="105"/>
      <c r="Z435" s="105"/>
      <c r="AA435" s="105"/>
      <c r="AB435" s="105"/>
      <c r="AC435" s="109"/>
      <c r="AD435" s="107"/>
      <c r="AE435" s="102"/>
      <c r="AF435" s="109"/>
      <c r="AG435" s="107"/>
      <c r="AH435" s="111"/>
      <c r="AI435" s="111"/>
      <c r="AJ435" s="131" t="str">
        <f t="shared" ca="1" si="10"/>
        <v/>
      </c>
      <c r="AK435" s="102"/>
      <c r="AL435" s="102"/>
      <c r="AM435" s="105"/>
      <c r="AN435" s="105"/>
      <c r="AO435" s="105"/>
      <c r="AP435" s="109"/>
      <c r="AQ435" s="112"/>
      <c r="AR435" s="102"/>
      <c r="AS435" s="102"/>
      <c r="AT435" s="113"/>
      <c r="AU435" s="108"/>
      <c r="AV435" s="107"/>
      <c r="AW435" s="109"/>
      <c r="AX435" s="115">
        <f t="shared" si="11"/>
        <v>1900</v>
      </c>
      <c r="AY435" s="115">
        <f t="shared" si="12"/>
        <v>1900</v>
      </c>
    </row>
    <row r="436" spans="1:51" ht="22.5" customHeight="1">
      <c r="A436" s="102"/>
      <c r="B436" s="102"/>
      <c r="C436" s="102"/>
      <c r="D436" s="102"/>
      <c r="E436" s="102"/>
      <c r="F436" s="102"/>
      <c r="G436" s="102"/>
      <c r="H436" s="102"/>
      <c r="I436" s="102"/>
      <c r="J436" s="102"/>
      <c r="K436" s="104"/>
      <c r="L436" s="63" t="str">
        <f t="shared" ca="1" si="9"/>
        <v/>
      </c>
      <c r="M436" s="104"/>
      <c r="N436" s="105"/>
      <c r="O436" s="104"/>
      <c r="P436" s="102"/>
      <c r="Q436" s="111"/>
      <c r="R436" s="118"/>
      <c r="S436" s="107"/>
      <c r="T436" s="102"/>
      <c r="U436" s="102"/>
      <c r="V436" s="102"/>
      <c r="W436" s="105"/>
      <c r="X436" s="105"/>
      <c r="Y436" s="105"/>
      <c r="Z436" s="105"/>
      <c r="AA436" s="105"/>
      <c r="AB436" s="105"/>
      <c r="AC436" s="109"/>
      <c r="AD436" s="107"/>
      <c r="AE436" s="102"/>
      <c r="AF436" s="109"/>
      <c r="AG436" s="107"/>
      <c r="AH436" s="111"/>
      <c r="AI436" s="111"/>
      <c r="AJ436" s="131" t="str">
        <f t="shared" ca="1" si="10"/>
        <v/>
      </c>
      <c r="AK436" s="102"/>
      <c r="AL436" s="102"/>
      <c r="AM436" s="105"/>
      <c r="AN436" s="105"/>
      <c r="AO436" s="105"/>
      <c r="AP436" s="109"/>
      <c r="AQ436" s="112"/>
      <c r="AR436" s="102"/>
      <c r="AS436" s="102"/>
      <c r="AT436" s="113"/>
      <c r="AU436" s="108"/>
      <c r="AV436" s="107"/>
      <c r="AW436" s="109"/>
      <c r="AX436" s="115">
        <f t="shared" si="11"/>
        <v>1900</v>
      </c>
      <c r="AY436" s="115">
        <f t="shared" si="12"/>
        <v>1900</v>
      </c>
    </row>
    <row r="437" spans="1:51" ht="22.5" customHeight="1">
      <c r="A437" s="102"/>
      <c r="B437" s="102"/>
      <c r="C437" s="102"/>
      <c r="D437" s="102"/>
      <c r="E437" s="102"/>
      <c r="F437" s="102"/>
      <c r="G437" s="102"/>
      <c r="H437" s="102"/>
      <c r="I437" s="102"/>
      <c r="J437" s="102"/>
      <c r="K437" s="104"/>
      <c r="L437" s="63" t="str">
        <f t="shared" ca="1" si="9"/>
        <v/>
      </c>
      <c r="M437" s="104"/>
      <c r="N437" s="105"/>
      <c r="O437" s="104"/>
      <c r="P437" s="102"/>
      <c r="Q437" s="111"/>
      <c r="R437" s="118"/>
      <c r="S437" s="107"/>
      <c r="T437" s="102"/>
      <c r="U437" s="102"/>
      <c r="V437" s="102"/>
      <c r="W437" s="105"/>
      <c r="X437" s="105"/>
      <c r="Y437" s="105"/>
      <c r="Z437" s="105"/>
      <c r="AA437" s="105"/>
      <c r="AB437" s="105"/>
      <c r="AC437" s="109"/>
      <c r="AD437" s="107"/>
      <c r="AE437" s="102"/>
      <c r="AF437" s="109"/>
      <c r="AG437" s="107"/>
      <c r="AH437" s="111"/>
      <c r="AI437" s="111"/>
      <c r="AJ437" s="131" t="str">
        <f t="shared" ca="1" si="10"/>
        <v/>
      </c>
      <c r="AK437" s="102"/>
      <c r="AL437" s="102"/>
      <c r="AM437" s="105"/>
      <c r="AN437" s="105"/>
      <c r="AO437" s="105"/>
      <c r="AP437" s="109"/>
      <c r="AQ437" s="112"/>
      <c r="AR437" s="102"/>
      <c r="AS437" s="102"/>
      <c r="AT437" s="113"/>
      <c r="AU437" s="108"/>
      <c r="AV437" s="107"/>
      <c r="AW437" s="109"/>
      <c r="AX437" s="115">
        <f t="shared" si="11"/>
        <v>1900</v>
      </c>
      <c r="AY437" s="115">
        <f t="shared" si="12"/>
        <v>1900</v>
      </c>
    </row>
    <row r="438" spans="1:51" ht="22.5" customHeight="1">
      <c r="A438" s="102"/>
      <c r="B438" s="102"/>
      <c r="C438" s="102"/>
      <c r="D438" s="102"/>
      <c r="E438" s="102"/>
      <c r="F438" s="102"/>
      <c r="G438" s="102"/>
      <c r="H438" s="102"/>
      <c r="I438" s="102"/>
      <c r="J438" s="102"/>
      <c r="K438" s="104"/>
      <c r="L438" s="63" t="str">
        <f t="shared" ca="1" si="9"/>
        <v/>
      </c>
      <c r="M438" s="104"/>
      <c r="N438" s="105"/>
      <c r="O438" s="104"/>
      <c r="P438" s="102"/>
      <c r="Q438" s="111"/>
      <c r="R438" s="118"/>
      <c r="S438" s="107"/>
      <c r="T438" s="102"/>
      <c r="U438" s="102"/>
      <c r="V438" s="102"/>
      <c r="W438" s="105"/>
      <c r="X438" s="105"/>
      <c r="Y438" s="105"/>
      <c r="Z438" s="105"/>
      <c r="AA438" s="105"/>
      <c r="AB438" s="105"/>
      <c r="AC438" s="109"/>
      <c r="AD438" s="107"/>
      <c r="AE438" s="102"/>
      <c r="AF438" s="109"/>
      <c r="AG438" s="107"/>
      <c r="AH438" s="111"/>
      <c r="AI438" s="111"/>
      <c r="AJ438" s="131" t="str">
        <f t="shared" ca="1" si="10"/>
        <v/>
      </c>
      <c r="AK438" s="102"/>
      <c r="AL438" s="102"/>
      <c r="AM438" s="105"/>
      <c r="AN438" s="105"/>
      <c r="AO438" s="105"/>
      <c r="AP438" s="109"/>
      <c r="AQ438" s="112"/>
      <c r="AR438" s="102"/>
      <c r="AS438" s="102"/>
      <c r="AT438" s="113"/>
      <c r="AU438" s="108"/>
      <c r="AV438" s="107"/>
      <c r="AW438" s="109"/>
      <c r="AX438" s="115">
        <f t="shared" si="11"/>
        <v>1900</v>
      </c>
      <c r="AY438" s="115">
        <f t="shared" si="12"/>
        <v>1900</v>
      </c>
    </row>
    <row r="439" spans="1:51" ht="22.5" customHeight="1">
      <c r="A439" s="102"/>
      <c r="B439" s="102"/>
      <c r="C439" s="102"/>
      <c r="D439" s="102"/>
      <c r="E439" s="102"/>
      <c r="F439" s="102"/>
      <c r="G439" s="102"/>
      <c r="H439" s="102"/>
      <c r="I439" s="102"/>
      <c r="J439" s="102"/>
      <c r="K439" s="104"/>
      <c r="L439" s="63" t="str">
        <f t="shared" ca="1" si="9"/>
        <v/>
      </c>
      <c r="M439" s="104"/>
      <c r="N439" s="105"/>
      <c r="O439" s="104"/>
      <c r="P439" s="102"/>
      <c r="Q439" s="111"/>
      <c r="R439" s="118"/>
      <c r="S439" s="107"/>
      <c r="T439" s="102"/>
      <c r="U439" s="102"/>
      <c r="V439" s="102"/>
      <c r="W439" s="105"/>
      <c r="X439" s="105"/>
      <c r="Y439" s="105"/>
      <c r="Z439" s="105"/>
      <c r="AA439" s="105"/>
      <c r="AB439" s="105"/>
      <c r="AC439" s="109"/>
      <c r="AD439" s="107"/>
      <c r="AE439" s="102"/>
      <c r="AF439" s="109"/>
      <c r="AG439" s="107"/>
      <c r="AH439" s="111"/>
      <c r="AI439" s="111"/>
      <c r="AJ439" s="131" t="str">
        <f t="shared" ca="1" si="10"/>
        <v/>
      </c>
      <c r="AK439" s="102"/>
      <c r="AL439" s="102"/>
      <c r="AM439" s="105"/>
      <c r="AN439" s="105"/>
      <c r="AO439" s="105"/>
      <c r="AP439" s="109"/>
      <c r="AQ439" s="112"/>
      <c r="AR439" s="102"/>
      <c r="AS439" s="102"/>
      <c r="AT439" s="113"/>
      <c r="AU439" s="108"/>
      <c r="AV439" s="107"/>
      <c r="AW439" s="109"/>
      <c r="AX439" s="115">
        <f t="shared" si="11"/>
        <v>1900</v>
      </c>
      <c r="AY439" s="115">
        <f t="shared" si="12"/>
        <v>1900</v>
      </c>
    </row>
    <row r="440" spans="1:51" ht="22.5" customHeight="1">
      <c r="A440" s="102"/>
      <c r="B440" s="102"/>
      <c r="C440" s="102"/>
      <c r="D440" s="102"/>
      <c r="E440" s="102"/>
      <c r="F440" s="102"/>
      <c r="G440" s="102"/>
      <c r="H440" s="102"/>
      <c r="I440" s="102"/>
      <c r="J440" s="102"/>
      <c r="K440" s="104"/>
      <c r="L440" s="63" t="str">
        <f t="shared" ca="1" si="9"/>
        <v/>
      </c>
      <c r="M440" s="104"/>
      <c r="N440" s="105"/>
      <c r="O440" s="104"/>
      <c r="P440" s="102"/>
      <c r="Q440" s="111"/>
      <c r="R440" s="118"/>
      <c r="S440" s="107"/>
      <c r="T440" s="102"/>
      <c r="U440" s="102"/>
      <c r="V440" s="102"/>
      <c r="W440" s="105"/>
      <c r="X440" s="105"/>
      <c r="Y440" s="105"/>
      <c r="Z440" s="105"/>
      <c r="AA440" s="105"/>
      <c r="AB440" s="105"/>
      <c r="AC440" s="109"/>
      <c r="AD440" s="107"/>
      <c r="AE440" s="102"/>
      <c r="AF440" s="109"/>
      <c r="AG440" s="107"/>
      <c r="AH440" s="111"/>
      <c r="AI440" s="111"/>
      <c r="AJ440" s="131" t="str">
        <f t="shared" ca="1" si="10"/>
        <v/>
      </c>
      <c r="AK440" s="102"/>
      <c r="AL440" s="102"/>
      <c r="AM440" s="105"/>
      <c r="AN440" s="105"/>
      <c r="AO440" s="105"/>
      <c r="AP440" s="109"/>
      <c r="AQ440" s="112"/>
      <c r="AR440" s="102"/>
      <c r="AS440" s="102"/>
      <c r="AT440" s="113"/>
      <c r="AU440" s="108"/>
      <c r="AV440" s="107"/>
      <c r="AW440" s="109"/>
      <c r="AX440" s="115">
        <f t="shared" si="11"/>
        <v>1900</v>
      </c>
      <c r="AY440" s="115">
        <f t="shared" si="12"/>
        <v>1900</v>
      </c>
    </row>
    <row r="441" spans="1:51" ht="22.5" customHeight="1">
      <c r="A441" s="102"/>
      <c r="B441" s="102"/>
      <c r="C441" s="102"/>
      <c r="D441" s="102"/>
      <c r="E441" s="102"/>
      <c r="F441" s="102"/>
      <c r="G441" s="102"/>
      <c r="H441" s="102"/>
      <c r="I441" s="102"/>
      <c r="J441" s="102"/>
      <c r="K441" s="104"/>
      <c r="L441" s="63" t="str">
        <f t="shared" ca="1" si="9"/>
        <v/>
      </c>
      <c r="M441" s="104"/>
      <c r="N441" s="105"/>
      <c r="O441" s="104"/>
      <c r="P441" s="102"/>
      <c r="Q441" s="111"/>
      <c r="R441" s="118"/>
      <c r="S441" s="107"/>
      <c r="T441" s="102"/>
      <c r="U441" s="102"/>
      <c r="V441" s="102"/>
      <c r="W441" s="105"/>
      <c r="X441" s="105"/>
      <c r="Y441" s="105"/>
      <c r="Z441" s="105"/>
      <c r="AA441" s="105"/>
      <c r="AB441" s="105"/>
      <c r="AC441" s="109"/>
      <c r="AD441" s="107"/>
      <c r="AE441" s="102"/>
      <c r="AF441" s="109"/>
      <c r="AG441" s="107"/>
      <c r="AH441" s="111"/>
      <c r="AI441" s="111"/>
      <c r="AJ441" s="131" t="str">
        <f t="shared" ca="1" si="10"/>
        <v/>
      </c>
      <c r="AK441" s="102"/>
      <c r="AL441" s="102"/>
      <c r="AM441" s="105"/>
      <c r="AN441" s="105"/>
      <c r="AO441" s="105"/>
      <c r="AP441" s="109"/>
      <c r="AQ441" s="112"/>
      <c r="AR441" s="102"/>
      <c r="AS441" s="102"/>
      <c r="AT441" s="113"/>
      <c r="AU441" s="108"/>
      <c r="AV441" s="107"/>
      <c r="AW441" s="109"/>
      <c r="AX441" s="115">
        <f t="shared" si="11"/>
        <v>1900</v>
      </c>
      <c r="AY441" s="115">
        <f t="shared" si="12"/>
        <v>1900</v>
      </c>
    </row>
    <row r="442" spans="1:51" ht="22.5" customHeight="1">
      <c r="A442" s="102"/>
      <c r="B442" s="102"/>
      <c r="C442" s="102"/>
      <c r="D442" s="102"/>
      <c r="E442" s="102"/>
      <c r="F442" s="102"/>
      <c r="G442" s="102"/>
      <c r="H442" s="102"/>
      <c r="I442" s="102"/>
      <c r="J442" s="102"/>
      <c r="K442" s="104"/>
      <c r="L442" s="63" t="str">
        <f t="shared" ca="1" si="9"/>
        <v/>
      </c>
      <c r="M442" s="104"/>
      <c r="N442" s="105"/>
      <c r="O442" s="104"/>
      <c r="P442" s="102"/>
      <c r="Q442" s="111"/>
      <c r="R442" s="118"/>
      <c r="S442" s="107"/>
      <c r="T442" s="102"/>
      <c r="U442" s="102"/>
      <c r="V442" s="102"/>
      <c r="W442" s="105"/>
      <c r="X442" s="105"/>
      <c r="Y442" s="105"/>
      <c r="Z442" s="105"/>
      <c r="AA442" s="105"/>
      <c r="AB442" s="105"/>
      <c r="AC442" s="109"/>
      <c r="AD442" s="107"/>
      <c r="AE442" s="102"/>
      <c r="AF442" s="109"/>
      <c r="AG442" s="107"/>
      <c r="AH442" s="111"/>
      <c r="AI442" s="111"/>
      <c r="AJ442" s="131" t="str">
        <f t="shared" ca="1" si="10"/>
        <v/>
      </c>
      <c r="AK442" s="102"/>
      <c r="AL442" s="102"/>
      <c r="AM442" s="105"/>
      <c r="AN442" s="105"/>
      <c r="AO442" s="105"/>
      <c r="AP442" s="109"/>
      <c r="AQ442" s="112"/>
      <c r="AR442" s="102"/>
      <c r="AS442" s="102"/>
      <c r="AT442" s="113"/>
      <c r="AU442" s="108"/>
      <c r="AV442" s="107"/>
      <c r="AW442" s="109"/>
      <c r="AX442" s="115">
        <f t="shared" si="11"/>
        <v>1900</v>
      </c>
      <c r="AY442" s="115">
        <f t="shared" si="12"/>
        <v>1900</v>
      </c>
    </row>
    <row r="443" spans="1:51" ht="22.5" customHeight="1">
      <c r="A443" s="102"/>
      <c r="B443" s="102"/>
      <c r="C443" s="102"/>
      <c r="D443" s="102"/>
      <c r="E443" s="102"/>
      <c r="F443" s="102"/>
      <c r="G443" s="102"/>
      <c r="H443" s="102"/>
      <c r="I443" s="102"/>
      <c r="J443" s="102"/>
      <c r="K443" s="104"/>
      <c r="L443" s="63" t="str">
        <f t="shared" ca="1" si="9"/>
        <v/>
      </c>
      <c r="M443" s="104"/>
      <c r="N443" s="105"/>
      <c r="O443" s="104"/>
      <c r="P443" s="102"/>
      <c r="Q443" s="111"/>
      <c r="R443" s="118"/>
      <c r="S443" s="107"/>
      <c r="T443" s="102"/>
      <c r="U443" s="102"/>
      <c r="V443" s="102"/>
      <c r="W443" s="105"/>
      <c r="X443" s="105"/>
      <c r="Y443" s="105"/>
      <c r="Z443" s="105"/>
      <c r="AA443" s="105"/>
      <c r="AB443" s="105"/>
      <c r="AC443" s="109"/>
      <c r="AD443" s="107"/>
      <c r="AE443" s="102"/>
      <c r="AF443" s="109"/>
      <c r="AG443" s="107"/>
      <c r="AH443" s="111"/>
      <c r="AI443" s="111"/>
      <c r="AJ443" s="131" t="str">
        <f t="shared" ca="1" si="10"/>
        <v/>
      </c>
      <c r="AK443" s="102"/>
      <c r="AL443" s="102"/>
      <c r="AM443" s="105"/>
      <c r="AN443" s="105"/>
      <c r="AO443" s="105"/>
      <c r="AP443" s="109"/>
      <c r="AQ443" s="112"/>
      <c r="AR443" s="102"/>
      <c r="AS443" s="102"/>
      <c r="AT443" s="113"/>
      <c r="AU443" s="108"/>
      <c r="AV443" s="107"/>
      <c r="AW443" s="109"/>
      <c r="AX443" s="115">
        <f t="shared" si="11"/>
        <v>1900</v>
      </c>
      <c r="AY443" s="115">
        <f t="shared" si="12"/>
        <v>1900</v>
      </c>
    </row>
    <row r="444" spans="1:51" ht="22.5" customHeight="1">
      <c r="A444" s="102"/>
      <c r="B444" s="102"/>
      <c r="C444" s="102"/>
      <c r="D444" s="102"/>
      <c r="E444" s="102"/>
      <c r="F444" s="102"/>
      <c r="G444" s="102"/>
      <c r="H444" s="102"/>
      <c r="I444" s="102"/>
      <c r="J444" s="102"/>
      <c r="K444" s="104"/>
      <c r="L444" s="63" t="str">
        <f t="shared" ca="1" si="9"/>
        <v/>
      </c>
      <c r="M444" s="104"/>
      <c r="N444" s="105"/>
      <c r="O444" s="104"/>
      <c r="P444" s="102"/>
      <c r="Q444" s="111"/>
      <c r="R444" s="118"/>
      <c r="S444" s="107"/>
      <c r="T444" s="102"/>
      <c r="U444" s="102"/>
      <c r="V444" s="102"/>
      <c r="W444" s="105"/>
      <c r="X444" s="105"/>
      <c r="Y444" s="105"/>
      <c r="Z444" s="105"/>
      <c r="AA444" s="105"/>
      <c r="AB444" s="105"/>
      <c r="AC444" s="109"/>
      <c r="AD444" s="107"/>
      <c r="AE444" s="102"/>
      <c r="AF444" s="109"/>
      <c r="AG444" s="107"/>
      <c r="AH444" s="111"/>
      <c r="AI444" s="111"/>
      <c r="AJ444" s="131" t="str">
        <f t="shared" ca="1" si="10"/>
        <v/>
      </c>
      <c r="AK444" s="102"/>
      <c r="AL444" s="102"/>
      <c r="AM444" s="105"/>
      <c r="AN444" s="105"/>
      <c r="AO444" s="105"/>
      <c r="AP444" s="109"/>
      <c r="AQ444" s="112"/>
      <c r="AR444" s="102"/>
      <c r="AS444" s="102"/>
      <c r="AT444" s="113"/>
      <c r="AU444" s="108"/>
      <c r="AV444" s="107"/>
      <c r="AW444" s="109"/>
      <c r="AX444" s="115">
        <f t="shared" si="11"/>
        <v>1900</v>
      </c>
      <c r="AY444" s="115">
        <f t="shared" si="12"/>
        <v>1900</v>
      </c>
    </row>
    <row r="445" spans="1:51" ht="22.5" customHeight="1">
      <c r="A445" s="102"/>
      <c r="B445" s="102"/>
      <c r="C445" s="102"/>
      <c r="D445" s="102"/>
      <c r="E445" s="102"/>
      <c r="F445" s="102"/>
      <c r="G445" s="102"/>
      <c r="H445" s="102"/>
      <c r="I445" s="102"/>
      <c r="J445" s="102"/>
      <c r="K445" s="104"/>
      <c r="L445" s="63" t="str">
        <f t="shared" ca="1" si="9"/>
        <v/>
      </c>
      <c r="M445" s="104"/>
      <c r="N445" s="105"/>
      <c r="O445" s="104"/>
      <c r="P445" s="102"/>
      <c r="Q445" s="111"/>
      <c r="R445" s="118"/>
      <c r="S445" s="107"/>
      <c r="T445" s="102"/>
      <c r="U445" s="102"/>
      <c r="V445" s="102"/>
      <c r="W445" s="105"/>
      <c r="X445" s="105"/>
      <c r="Y445" s="105"/>
      <c r="Z445" s="105"/>
      <c r="AA445" s="105"/>
      <c r="AB445" s="105"/>
      <c r="AC445" s="109"/>
      <c r="AD445" s="107"/>
      <c r="AE445" s="102"/>
      <c r="AF445" s="109"/>
      <c r="AG445" s="107"/>
      <c r="AH445" s="111"/>
      <c r="AI445" s="111"/>
      <c r="AJ445" s="131" t="str">
        <f t="shared" ca="1" si="10"/>
        <v/>
      </c>
      <c r="AK445" s="102"/>
      <c r="AL445" s="102"/>
      <c r="AM445" s="105"/>
      <c r="AN445" s="105"/>
      <c r="AO445" s="105"/>
      <c r="AP445" s="109"/>
      <c r="AQ445" s="112"/>
      <c r="AR445" s="102"/>
      <c r="AS445" s="102"/>
      <c r="AT445" s="113"/>
      <c r="AU445" s="108"/>
      <c r="AV445" s="107"/>
      <c r="AW445" s="109"/>
      <c r="AX445" s="115">
        <f t="shared" si="11"/>
        <v>1900</v>
      </c>
      <c r="AY445" s="115">
        <f t="shared" si="12"/>
        <v>1900</v>
      </c>
    </row>
    <row r="446" spans="1:51" ht="22.5" customHeight="1">
      <c r="A446" s="102"/>
      <c r="B446" s="102"/>
      <c r="C446" s="102"/>
      <c r="D446" s="102"/>
      <c r="E446" s="102"/>
      <c r="F446" s="102"/>
      <c r="G446" s="102"/>
      <c r="H446" s="102"/>
      <c r="I446" s="102"/>
      <c r="J446" s="102"/>
      <c r="K446" s="104"/>
      <c r="L446" s="63" t="str">
        <f t="shared" ca="1" si="9"/>
        <v/>
      </c>
      <c r="M446" s="104"/>
      <c r="N446" s="105"/>
      <c r="O446" s="104"/>
      <c r="P446" s="102"/>
      <c r="Q446" s="111"/>
      <c r="R446" s="118"/>
      <c r="S446" s="107"/>
      <c r="T446" s="102"/>
      <c r="U446" s="102"/>
      <c r="V446" s="102"/>
      <c r="W446" s="105"/>
      <c r="X446" s="105"/>
      <c r="Y446" s="105"/>
      <c r="Z446" s="105"/>
      <c r="AA446" s="105"/>
      <c r="AB446" s="105"/>
      <c r="AC446" s="109"/>
      <c r="AD446" s="107"/>
      <c r="AE446" s="102"/>
      <c r="AF446" s="109"/>
      <c r="AG446" s="107"/>
      <c r="AH446" s="111"/>
      <c r="AI446" s="111"/>
      <c r="AJ446" s="131" t="str">
        <f t="shared" ca="1" si="10"/>
        <v/>
      </c>
      <c r="AK446" s="102"/>
      <c r="AL446" s="102"/>
      <c r="AM446" s="105"/>
      <c r="AN446" s="105"/>
      <c r="AO446" s="105"/>
      <c r="AP446" s="109"/>
      <c r="AQ446" s="112"/>
      <c r="AR446" s="102"/>
      <c r="AS446" s="102"/>
      <c r="AT446" s="113"/>
      <c r="AU446" s="108"/>
      <c r="AV446" s="107"/>
      <c r="AW446" s="109"/>
      <c r="AX446" s="115">
        <f t="shared" si="11"/>
        <v>1900</v>
      </c>
      <c r="AY446" s="115">
        <f t="shared" si="12"/>
        <v>1900</v>
      </c>
    </row>
    <row r="447" spans="1:51" ht="22.5" customHeight="1">
      <c r="A447" s="102"/>
      <c r="B447" s="102"/>
      <c r="C447" s="102"/>
      <c r="D447" s="102"/>
      <c r="E447" s="102"/>
      <c r="F447" s="102"/>
      <c r="G447" s="102"/>
      <c r="H447" s="102"/>
      <c r="I447" s="102"/>
      <c r="J447" s="102"/>
      <c r="K447" s="104"/>
      <c r="L447" s="63" t="str">
        <f t="shared" ca="1" si="9"/>
        <v/>
      </c>
      <c r="M447" s="104"/>
      <c r="N447" s="105"/>
      <c r="O447" s="104"/>
      <c r="P447" s="102"/>
      <c r="Q447" s="111"/>
      <c r="R447" s="118"/>
      <c r="S447" s="107"/>
      <c r="T447" s="102"/>
      <c r="U447" s="102"/>
      <c r="V447" s="102"/>
      <c r="W447" s="105"/>
      <c r="X447" s="105"/>
      <c r="Y447" s="105"/>
      <c r="Z447" s="105"/>
      <c r="AA447" s="105"/>
      <c r="AB447" s="105"/>
      <c r="AC447" s="109"/>
      <c r="AD447" s="107"/>
      <c r="AE447" s="102"/>
      <c r="AF447" s="109"/>
      <c r="AG447" s="107"/>
      <c r="AH447" s="111"/>
      <c r="AI447" s="111"/>
      <c r="AJ447" s="131" t="str">
        <f t="shared" ca="1" si="10"/>
        <v/>
      </c>
      <c r="AK447" s="102"/>
      <c r="AL447" s="102"/>
      <c r="AM447" s="105"/>
      <c r="AN447" s="105"/>
      <c r="AO447" s="105"/>
      <c r="AP447" s="109"/>
      <c r="AQ447" s="112"/>
      <c r="AR447" s="102"/>
      <c r="AS447" s="102"/>
      <c r="AT447" s="113"/>
      <c r="AU447" s="108"/>
      <c r="AV447" s="107"/>
      <c r="AW447" s="109"/>
      <c r="AX447" s="115">
        <f t="shared" si="11"/>
        <v>1900</v>
      </c>
      <c r="AY447" s="115">
        <f t="shared" si="12"/>
        <v>1900</v>
      </c>
    </row>
    <row r="448" spans="1:51" ht="22.5" customHeight="1">
      <c r="A448" s="102"/>
      <c r="B448" s="102"/>
      <c r="C448" s="102"/>
      <c r="D448" s="102"/>
      <c r="E448" s="102"/>
      <c r="F448" s="102"/>
      <c r="G448" s="102"/>
      <c r="H448" s="102"/>
      <c r="I448" s="102"/>
      <c r="J448" s="102"/>
      <c r="K448" s="104"/>
      <c r="L448" s="63" t="str">
        <f t="shared" ca="1" si="9"/>
        <v/>
      </c>
      <c r="M448" s="104"/>
      <c r="N448" s="105"/>
      <c r="O448" s="104"/>
      <c r="P448" s="102"/>
      <c r="Q448" s="111"/>
      <c r="R448" s="118"/>
      <c r="S448" s="107"/>
      <c r="T448" s="102"/>
      <c r="U448" s="102"/>
      <c r="V448" s="102"/>
      <c r="W448" s="105"/>
      <c r="X448" s="105"/>
      <c r="Y448" s="105"/>
      <c r="Z448" s="105"/>
      <c r="AA448" s="105"/>
      <c r="AB448" s="105"/>
      <c r="AC448" s="109"/>
      <c r="AD448" s="107"/>
      <c r="AE448" s="102"/>
      <c r="AF448" s="109"/>
      <c r="AG448" s="107"/>
      <c r="AH448" s="111"/>
      <c r="AI448" s="111"/>
      <c r="AJ448" s="131" t="str">
        <f t="shared" ca="1" si="10"/>
        <v/>
      </c>
      <c r="AK448" s="102"/>
      <c r="AL448" s="102"/>
      <c r="AM448" s="105"/>
      <c r="AN448" s="105"/>
      <c r="AO448" s="105"/>
      <c r="AP448" s="109"/>
      <c r="AQ448" s="112"/>
      <c r="AR448" s="102"/>
      <c r="AS448" s="102"/>
      <c r="AT448" s="113"/>
      <c r="AU448" s="108"/>
      <c r="AV448" s="107"/>
      <c r="AW448" s="109"/>
      <c r="AX448" s="115">
        <f t="shared" si="11"/>
        <v>1900</v>
      </c>
      <c r="AY448" s="115">
        <f t="shared" si="12"/>
        <v>1900</v>
      </c>
    </row>
    <row r="449" spans="1:51" ht="22.5" customHeight="1">
      <c r="A449" s="102"/>
      <c r="B449" s="102"/>
      <c r="C449" s="102"/>
      <c r="D449" s="102"/>
      <c r="E449" s="102"/>
      <c r="F449" s="102"/>
      <c r="G449" s="102"/>
      <c r="H449" s="102"/>
      <c r="I449" s="102"/>
      <c r="J449" s="102"/>
      <c r="K449" s="104"/>
      <c r="L449" s="63" t="str">
        <f t="shared" ca="1" si="9"/>
        <v/>
      </c>
      <c r="M449" s="104"/>
      <c r="N449" s="105"/>
      <c r="O449" s="104"/>
      <c r="P449" s="102"/>
      <c r="Q449" s="119"/>
      <c r="R449" s="118"/>
      <c r="S449" s="107"/>
      <c r="T449" s="102"/>
      <c r="U449" s="102"/>
      <c r="V449" s="102"/>
      <c r="W449" s="105"/>
      <c r="X449" s="105"/>
      <c r="Y449" s="105"/>
      <c r="Z449" s="105"/>
      <c r="AA449" s="105"/>
      <c r="AB449" s="105"/>
      <c r="AC449" s="109"/>
      <c r="AD449" s="107"/>
      <c r="AE449" s="102"/>
      <c r="AF449" s="109"/>
      <c r="AG449" s="120"/>
      <c r="AH449" s="119"/>
      <c r="AI449" s="111"/>
      <c r="AJ449" s="131" t="str">
        <f t="shared" ca="1" si="10"/>
        <v/>
      </c>
      <c r="AK449" s="102"/>
      <c r="AL449" s="102"/>
      <c r="AM449" s="105"/>
      <c r="AN449" s="105"/>
      <c r="AO449" s="105"/>
      <c r="AP449" s="109"/>
      <c r="AQ449" s="112"/>
      <c r="AR449" s="102"/>
      <c r="AS449" s="102"/>
      <c r="AT449" s="113"/>
      <c r="AU449" s="108"/>
      <c r="AV449" s="107"/>
      <c r="AW449" s="109"/>
      <c r="AX449" s="115">
        <f t="shared" si="11"/>
        <v>1900</v>
      </c>
      <c r="AY449" s="115">
        <f t="shared" si="12"/>
        <v>1900</v>
      </c>
    </row>
    <row r="450" spans="1:51" ht="22.5" customHeight="1">
      <c r="A450" s="102"/>
      <c r="B450" s="102"/>
      <c r="C450" s="102"/>
      <c r="D450" s="102"/>
      <c r="E450" s="102"/>
      <c r="F450" s="102"/>
      <c r="G450" s="102"/>
      <c r="H450" s="102"/>
      <c r="I450" s="102"/>
      <c r="J450" s="102"/>
      <c r="K450" s="104"/>
      <c r="L450" s="63" t="str">
        <f t="shared" ca="1" si="9"/>
        <v/>
      </c>
      <c r="M450" s="104"/>
      <c r="N450" s="105"/>
      <c r="O450" s="104"/>
      <c r="P450" s="102"/>
      <c r="Q450" s="119"/>
      <c r="R450" s="118"/>
      <c r="S450" s="107"/>
      <c r="T450" s="102"/>
      <c r="U450" s="102"/>
      <c r="V450" s="102"/>
      <c r="W450" s="105"/>
      <c r="X450" s="105"/>
      <c r="Y450" s="105"/>
      <c r="Z450" s="105"/>
      <c r="AA450" s="105"/>
      <c r="AB450" s="105"/>
      <c r="AC450" s="109"/>
      <c r="AD450" s="107"/>
      <c r="AE450" s="102"/>
      <c r="AF450" s="109"/>
      <c r="AG450" s="120"/>
      <c r="AH450" s="119"/>
      <c r="AI450" s="111"/>
      <c r="AJ450" s="131" t="str">
        <f t="shared" ca="1" si="10"/>
        <v/>
      </c>
      <c r="AK450" s="102"/>
      <c r="AL450" s="102"/>
      <c r="AM450" s="105"/>
      <c r="AN450" s="105"/>
      <c r="AO450" s="105"/>
      <c r="AP450" s="109"/>
      <c r="AQ450" s="112"/>
      <c r="AR450" s="102"/>
      <c r="AS450" s="102"/>
      <c r="AT450" s="113"/>
      <c r="AU450" s="108"/>
      <c r="AV450" s="107"/>
      <c r="AW450" s="109"/>
      <c r="AX450" s="115">
        <f t="shared" si="11"/>
        <v>1900</v>
      </c>
      <c r="AY450" s="115">
        <f t="shared" si="12"/>
        <v>1900</v>
      </c>
    </row>
    <row r="451" spans="1:51" ht="22.5" customHeight="1">
      <c r="A451" s="102"/>
      <c r="B451" s="102"/>
      <c r="C451" s="102"/>
      <c r="D451" s="102"/>
      <c r="E451" s="102"/>
      <c r="F451" s="102"/>
      <c r="G451" s="102"/>
      <c r="H451" s="102"/>
      <c r="I451" s="102"/>
      <c r="J451" s="102"/>
      <c r="K451" s="104"/>
      <c r="L451" s="63" t="str">
        <f t="shared" ca="1" si="9"/>
        <v/>
      </c>
      <c r="M451" s="104"/>
      <c r="N451" s="105"/>
      <c r="O451" s="104"/>
      <c r="P451" s="102"/>
      <c r="Q451" s="119"/>
      <c r="R451" s="118"/>
      <c r="S451" s="107"/>
      <c r="T451" s="102"/>
      <c r="U451" s="102"/>
      <c r="V451" s="102"/>
      <c r="W451" s="105"/>
      <c r="X451" s="105"/>
      <c r="Y451" s="105"/>
      <c r="Z451" s="105"/>
      <c r="AA451" s="105"/>
      <c r="AB451" s="105"/>
      <c r="AC451" s="109"/>
      <c r="AD451" s="107"/>
      <c r="AE451" s="102"/>
      <c r="AF451" s="109"/>
      <c r="AG451" s="120"/>
      <c r="AH451" s="119"/>
      <c r="AI451" s="111"/>
      <c r="AJ451" s="131" t="str">
        <f t="shared" ca="1" si="10"/>
        <v/>
      </c>
      <c r="AK451" s="102"/>
      <c r="AL451" s="102"/>
      <c r="AM451" s="105"/>
      <c r="AN451" s="105"/>
      <c r="AO451" s="105"/>
      <c r="AP451" s="109"/>
      <c r="AQ451" s="112"/>
      <c r="AR451" s="102"/>
      <c r="AS451" s="102"/>
      <c r="AT451" s="113"/>
      <c r="AU451" s="108"/>
      <c r="AV451" s="107"/>
      <c r="AW451" s="109"/>
      <c r="AX451" s="115">
        <f t="shared" si="11"/>
        <v>1900</v>
      </c>
      <c r="AY451" s="115">
        <f t="shared" si="12"/>
        <v>1900</v>
      </c>
    </row>
    <row r="452" spans="1:51" ht="22.5" customHeight="1">
      <c r="A452" s="102"/>
      <c r="B452" s="102"/>
      <c r="C452" s="102"/>
      <c r="D452" s="102"/>
      <c r="E452" s="102"/>
      <c r="F452" s="102"/>
      <c r="G452" s="102"/>
      <c r="H452" s="102"/>
      <c r="I452" s="102"/>
      <c r="J452" s="102"/>
      <c r="K452" s="104"/>
      <c r="L452" s="63" t="str">
        <f t="shared" ca="1" si="9"/>
        <v/>
      </c>
      <c r="M452" s="104"/>
      <c r="N452" s="105"/>
      <c r="O452" s="104"/>
      <c r="P452" s="102"/>
      <c r="Q452" s="119"/>
      <c r="R452" s="118"/>
      <c r="S452" s="107"/>
      <c r="T452" s="102"/>
      <c r="U452" s="102"/>
      <c r="V452" s="102"/>
      <c r="W452" s="105"/>
      <c r="X452" s="105"/>
      <c r="Y452" s="105"/>
      <c r="Z452" s="105"/>
      <c r="AA452" s="105"/>
      <c r="AB452" s="105"/>
      <c r="AC452" s="109"/>
      <c r="AD452" s="107"/>
      <c r="AE452" s="102"/>
      <c r="AF452" s="109"/>
      <c r="AG452" s="121"/>
      <c r="AH452" s="119"/>
      <c r="AI452" s="111"/>
      <c r="AJ452" s="131" t="str">
        <f t="shared" ca="1" si="10"/>
        <v/>
      </c>
      <c r="AK452" s="102"/>
      <c r="AL452" s="102"/>
      <c r="AM452" s="105"/>
      <c r="AN452" s="105"/>
      <c r="AO452" s="105"/>
      <c r="AP452" s="109"/>
      <c r="AQ452" s="112"/>
      <c r="AR452" s="102"/>
      <c r="AS452" s="102"/>
      <c r="AT452" s="113"/>
      <c r="AU452" s="108"/>
      <c r="AV452" s="107"/>
      <c r="AW452" s="109"/>
      <c r="AX452" s="115">
        <f t="shared" si="11"/>
        <v>1900</v>
      </c>
      <c r="AY452" s="115">
        <f t="shared" si="12"/>
        <v>1900</v>
      </c>
    </row>
    <row r="453" spans="1:51" ht="22.5" customHeight="1">
      <c r="A453" s="102"/>
      <c r="B453" s="102"/>
      <c r="C453" s="102"/>
      <c r="D453" s="102"/>
      <c r="E453" s="102"/>
      <c r="F453" s="102"/>
      <c r="G453" s="102"/>
      <c r="H453" s="102"/>
      <c r="I453" s="102"/>
      <c r="J453" s="102"/>
      <c r="K453" s="104"/>
      <c r="L453" s="63" t="str">
        <f t="shared" ca="1" si="9"/>
        <v/>
      </c>
      <c r="M453" s="104"/>
      <c r="N453" s="105"/>
      <c r="O453" s="104"/>
      <c r="P453" s="102"/>
      <c r="Q453" s="119"/>
      <c r="R453" s="118"/>
      <c r="S453" s="107"/>
      <c r="T453" s="102"/>
      <c r="U453" s="102"/>
      <c r="V453" s="102"/>
      <c r="W453" s="105"/>
      <c r="X453" s="105"/>
      <c r="Y453" s="105"/>
      <c r="Z453" s="105"/>
      <c r="AA453" s="105"/>
      <c r="AB453" s="105"/>
      <c r="AC453" s="109"/>
      <c r="AD453" s="107"/>
      <c r="AE453" s="102"/>
      <c r="AF453" s="109"/>
      <c r="AG453" s="120"/>
      <c r="AH453" s="119"/>
      <c r="AI453" s="111"/>
      <c r="AJ453" s="131" t="str">
        <f t="shared" ca="1" si="10"/>
        <v/>
      </c>
      <c r="AK453" s="102"/>
      <c r="AL453" s="102"/>
      <c r="AM453" s="105"/>
      <c r="AN453" s="105"/>
      <c r="AO453" s="105"/>
      <c r="AP453" s="109"/>
      <c r="AQ453" s="112"/>
      <c r="AR453" s="102"/>
      <c r="AS453" s="102"/>
      <c r="AT453" s="113"/>
      <c r="AU453" s="108"/>
      <c r="AV453" s="107"/>
      <c r="AW453" s="109"/>
      <c r="AX453" s="115">
        <f t="shared" si="11"/>
        <v>1900</v>
      </c>
      <c r="AY453" s="115">
        <f t="shared" si="12"/>
        <v>1900</v>
      </c>
    </row>
    <row r="454" spans="1:51" ht="22.5" customHeight="1">
      <c r="A454" s="102"/>
      <c r="B454" s="102"/>
      <c r="C454" s="102"/>
      <c r="D454" s="102"/>
      <c r="E454" s="102"/>
      <c r="F454" s="102"/>
      <c r="G454" s="102"/>
      <c r="H454" s="102"/>
      <c r="I454" s="102"/>
      <c r="J454" s="102"/>
      <c r="K454" s="104"/>
      <c r="L454" s="63" t="str">
        <f t="shared" ca="1" si="9"/>
        <v/>
      </c>
      <c r="M454" s="104"/>
      <c r="N454" s="105"/>
      <c r="O454" s="104"/>
      <c r="P454" s="102"/>
      <c r="Q454" s="119"/>
      <c r="R454" s="118"/>
      <c r="S454" s="107"/>
      <c r="T454" s="102"/>
      <c r="U454" s="102"/>
      <c r="V454" s="102"/>
      <c r="W454" s="105"/>
      <c r="X454" s="105"/>
      <c r="Y454" s="105"/>
      <c r="Z454" s="105"/>
      <c r="AA454" s="105"/>
      <c r="AB454" s="105"/>
      <c r="AC454" s="109"/>
      <c r="AD454" s="107"/>
      <c r="AE454" s="102"/>
      <c r="AF454" s="109"/>
      <c r="AG454" s="120"/>
      <c r="AH454" s="119"/>
      <c r="AI454" s="111"/>
      <c r="AJ454" s="131" t="str">
        <f t="shared" ca="1" si="10"/>
        <v/>
      </c>
      <c r="AK454" s="102"/>
      <c r="AL454" s="102"/>
      <c r="AM454" s="105"/>
      <c r="AN454" s="105"/>
      <c r="AO454" s="105"/>
      <c r="AP454" s="109"/>
      <c r="AQ454" s="112"/>
      <c r="AR454" s="102"/>
      <c r="AS454" s="102"/>
      <c r="AT454" s="113"/>
      <c r="AU454" s="108"/>
      <c r="AV454" s="107"/>
      <c r="AW454" s="109"/>
      <c r="AX454" s="115">
        <f t="shared" si="11"/>
        <v>1900</v>
      </c>
      <c r="AY454" s="115">
        <f t="shared" si="12"/>
        <v>1900</v>
      </c>
    </row>
    <row r="455" spans="1:51" ht="22.5" customHeight="1">
      <c r="A455" s="102"/>
      <c r="B455" s="102"/>
      <c r="C455" s="102"/>
      <c r="D455" s="102"/>
      <c r="E455" s="102"/>
      <c r="F455" s="102"/>
      <c r="G455" s="102"/>
      <c r="H455" s="102"/>
      <c r="I455" s="102"/>
      <c r="J455" s="102"/>
      <c r="K455" s="104"/>
      <c r="L455" s="63" t="str">
        <f t="shared" ca="1" si="9"/>
        <v/>
      </c>
      <c r="M455" s="104"/>
      <c r="N455" s="105"/>
      <c r="O455" s="104"/>
      <c r="P455" s="102"/>
      <c r="Q455" s="111"/>
      <c r="R455" s="118"/>
      <c r="S455" s="107"/>
      <c r="T455" s="102"/>
      <c r="U455" s="102"/>
      <c r="V455" s="102"/>
      <c r="W455" s="105"/>
      <c r="X455" s="105"/>
      <c r="Y455" s="105"/>
      <c r="Z455" s="105"/>
      <c r="AA455" s="105"/>
      <c r="AB455" s="105"/>
      <c r="AC455" s="109"/>
      <c r="AD455" s="107"/>
      <c r="AE455" s="102"/>
      <c r="AF455" s="109"/>
      <c r="AG455" s="107"/>
      <c r="AH455" s="111"/>
      <c r="AI455" s="111"/>
      <c r="AJ455" s="131" t="str">
        <f t="shared" ca="1" si="10"/>
        <v/>
      </c>
      <c r="AK455" s="102"/>
      <c r="AL455" s="102"/>
      <c r="AM455" s="105"/>
      <c r="AN455" s="105"/>
      <c r="AO455" s="105"/>
      <c r="AP455" s="109"/>
      <c r="AQ455" s="112"/>
      <c r="AR455" s="102"/>
      <c r="AS455" s="102"/>
      <c r="AT455" s="113"/>
      <c r="AU455" s="108"/>
      <c r="AV455" s="107"/>
      <c r="AW455" s="109"/>
      <c r="AX455" s="115">
        <f t="shared" si="11"/>
        <v>1900</v>
      </c>
      <c r="AY455" s="115">
        <f t="shared" si="12"/>
        <v>1900</v>
      </c>
    </row>
    <row r="456" spans="1:51" ht="22.5" customHeight="1">
      <c r="A456" s="102"/>
      <c r="B456" s="102"/>
      <c r="C456" s="102"/>
      <c r="D456" s="102"/>
      <c r="E456" s="102"/>
      <c r="F456" s="102"/>
      <c r="G456" s="102"/>
      <c r="H456" s="102"/>
      <c r="I456" s="102"/>
      <c r="J456" s="102"/>
      <c r="K456" s="104"/>
      <c r="L456" s="63" t="str">
        <f t="shared" ca="1" si="9"/>
        <v/>
      </c>
      <c r="M456" s="104"/>
      <c r="N456" s="105"/>
      <c r="O456" s="104"/>
      <c r="P456" s="102"/>
      <c r="Q456" s="111"/>
      <c r="R456" s="118"/>
      <c r="S456" s="107"/>
      <c r="T456" s="102"/>
      <c r="U456" s="102"/>
      <c r="V456" s="102"/>
      <c r="W456" s="105"/>
      <c r="X456" s="105"/>
      <c r="Y456" s="105"/>
      <c r="Z456" s="105"/>
      <c r="AA456" s="105"/>
      <c r="AB456" s="105"/>
      <c r="AC456" s="109"/>
      <c r="AD456" s="107"/>
      <c r="AE456" s="102"/>
      <c r="AF456" s="109"/>
      <c r="AG456" s="107"/>
      <c r="AH456" s="111"/>
      <c r="AI456" s="111"/>
      <c r="AJ456" s="131" t="str">
        <f t="shared" ca="1" si="10"/>
        <v/>
      </c>
      <c r="AK456" s="102"/>
      <c r="AL456" s="102"/>
      <c r="AM456" s="105"/>
      <c r="AN456" s="105"/>
      <c r="AO456" s="105"/>
      <c r="AP456" s="109"/>
      <c r="AQ456" s="112"/>
      <c r="AR456" s="102"/>
      <c r="AS456" s="102"/>
      <c r="AT456" s="113"/>
      <c r="AU456" s="108"/>
      <c r="AV456" s="107"/>
      <c r="AW456" s="109"/>
      <c r="AX456" s="115">
        <f t="shared" si="11"/>
        <v>1900</v>
      </c>
      <c r="AY456" s="115">
        <f t="shared" si="12"/>
        <v>1900</v>
      </c>
    </row>
    <row r="457" spans="1:51" ht="22.5" customHeight="1">
      <c r="A457" s="102"/>
      <c r="B457" s="102"/>
      <c r="C457" s="102"/>
      <c r="D457" s="102"/>
      <c r="E457" s="102"/>
      <c r="F457" s="102"/>
      <c r="G457" s="102"/>
      <c r="H457" s="102"/>
      <c r="I457" s="102"/>
      <c r="J457" s="102"/>
      <c r="K457" s="104"/>
      <c r="L457" s="63" t="str">
        <f t="shared" ca="1" si="9"/>
        <v/>
      </c>
      <c r="M457" s="104"/>
      <c r="N457" s="105"/>
      <c r="O457" s="104"/>
      <c r="P457" s="102"/>
      <c r="Q457" s="111"/>
      <c r="R457" s="118"/>
      <c r="S457" s="107"/>
      <c r="T457" s="102"/>
      <c r="U457" s="102"/>
      <c r="V457" s="102"/>
      <c r="W457" s="105"/>
      <c r="X457" s="105"/>
      <c r="Y457" s="105"/>
      <c r="Z457" s="105"/>
      <c r="AA457" s="105"/>
      <c r="AB457" s="105"/>
      <c r="AC457" s="109"/>
      <c r="AD457" s="107"/>
      <c r="AE457" s="102"/>
      <c r="AF457" s="109"/>
      <c r="AG457" s="107"/>
      <c r="AH457" s="111"/>
      <c r="AI457" s="111"/>
      <c r="AJ457" s="131" t="str">
        <f t="shared" ca="1" si="10"/>
        <v/>
      </c>
      <c r="AK457" s="102"/>
      <c r="AL457" s="102"/>
      <c r="AM457" s="105"/>
      <c r="AN457" s="105"/>
      <c r="AO457" s="105"/>
      <c r="AP457" s="109"/>
      <c r="AQ457" s="112"/>
      <c r="AR457" s="102"/>
      <c r="AS457" s="102"/>
      <c r="AT457" s="113"/>
      <c r="AU457" s="108"/>
      <c r="AV457" s="107"/>
      <c r="AW457" s="109"/>
      <c r="AX457" s="115">
        <f t="shared" si="11"/>
        <v>1900</v>
      </c>
      <c r="AY457" s="115">
        <f t="shared" si="12"/>
        <v>1900</v>
      </c>
    </row>
    <row r="458" spans="1:51" ht="22.5" customHeight="1">
      <c r="A458" s="102"/>
      <c r="B458" s="102"/>
      <c r="C458" s="102"/>
      <c r="D458" s="102"/>
      <c r="E458" s="102"/>
      <c r="F458" s="102"/>
      <c r="G458" s="102"/>
      <c r="H458" s="102"/>
      <c r="I458" s="102"/>
      <c r="J458" s="102"/>
      <c r="K458" s="104"/>
      <c r="L458" s="63" t="str">
        <f t="shared" ca="1" si="9"/>
        <v/>
      </c>
      <c r="M458" s="104"/>
      <c r="N458" s="105"/>
      <c r="O458" s="104"/>
      <c r="P458" s="102"/>
      <c r="Q458" s="111"/>
      <c r="R458" s="118"/>
      <c r="S458" s="107"/>
      <c r="T458" s="102"/>
      <c r="U458" s="102"/>
      <c r="V458" s="102"/>
      <c r="W458" s="105"/>
      <c r="X458" s="105"/>
      <c r="Y458" s="105"/>
      <c r="Z458" s="105"/>
      <c r="AA458" s="105"/>
      <c r="AB458" s="105"/>
      <c r="AC458" s="109"/>
      <c r="AD458" s="107"/>
      <c r="AE458" s="102"/>
      <c r="AF458" s="109"/>
      <c r="AG458" s="107"/>
      <c r="AH458" s="111"/>
      <c r="AI458" s="111"/>
      <c r="AJ458" s="131" t="str">
        <f t="shared" ca="1" si="10"/>
        <v/>
      </c>
      <c r="AK458" s="102"/>
      <c r="AL458" s="102"/>
      <c r="AM458" s="105"/>
      <c r="AN458" s="105"/>
      <c r="AO458" s="105"/>
      <c r="AP458" s="109"/>
      <c r="AQ458" s="112"/>
      <c r="AR458" s="102"/>
      <c r="AS458" s="102"/>
      <c r="AT458" s="113"/>
      <c r="AU458" s="108"/>
      <c r="AV458" s="107"/>
      <c r="AW458" s="109"/>
      <c r="AX458" s="115">
        <f t="shared" si="11"/>
        <v>1900</v>
      </c>
      <c r="AY458" s="115">
        <f t="shared" si="12"/>
        <v>1900</v>
      </c>
    </row>
    <row r="459" spans="1:51" ht="22.5" customHeight="1">
      <c r="A459" s="102"/>
      <c r="B459" s="102"/>
      <c r="C459" s="102"/>
      <c r="D459" s="102"/>
      <c r="E459" s="102"/>
      <c r="F459" s="102"/>
      <c r="G459" s="102"/>
      <c r="H459" s="102"/>
      <c r="I459" s="102"/>
      <c r="J459" s="102"/>
      <c r="K459" s="104"/>
      <c r="L459" s="63" t="str">
        <f t="shared" ca="1" si="9"/>
        <v/>
      </c>
      <c r="M459" s="104"/>
      <c r="N459" s="105"/>
      <c r="O459" s="104"/>
      <c r="P459" s="102"/>
      <c r="Q459" s="111"/>
      <c r="R459" s="118"/>
      <c r="S459" s="107"/>
      <c r="T459" s="102"/>
      <c r="U459" s="102"/>
      <c r="V459" s="102"/>
      <c r="W459" s="105"/>
      <c r="X459" s="105"/>
      <c r="Y459" s="105"/>
      <c r="Z459" s="105"/>
      <c r="AA459" s="105"/>
      <c r="AB459" s="105"/>
      <c r="AC459" s="109"/>
      <c r="AD459" s="107"/>
      <c r="AE459" s="102"/>
      <c r="AF459" s="109"/>
      <c r="AG459" s="107"/>
      <c r="AH459" s="111"/>
      <c r="AI459" s="111"/>
      <c r="AJ459" s="131" t="str">
        <f t="shared" ca="1" si="10"/>
        <v/>
      </c>
      <c r="AK459" s="102"/>
      <c r="AL459" s="102"/>
      <c r="AM459" s="105"/>
      <c r="AN459" s="105"/>
      <c r="AO459" s="105"/>
      <c r="AP459" s="109"/>
      <c r="AQ459" s="112"/>
      <c r="AR459" s="102"/>
      <c r="AS459" s="102"/>
      <c r="AT459" s="113"/>
      <c r="AU459" s="108"/>
      <c r="AV459" s="107"/>
      <c r="AW459" s="109"/>
      <c r="AX459" s="115">
        <f t="shared" si="11"/>
        <v>1900</v>
      </c>
      <c r="AY459" s="115">
        <f t="shared" si="12"/>
        <v>1900</v>
      </c>
    </row>
    <row r="460" spans="1:51" ht="22.5" customHeight="1">
      <c r="A460" s="102"/>
      <c r="B460" s="102"/>
      <c r="C460" s="102"/>
      <c r="D460" s="102"/>
      <c r="E460" s="102"/>
      <c r="F460" s="102"/>
      <c r="G460" s="102"/>
      <c r="H460" s="102"/>
      <c r="I460" s="102"/>
      <c r="J460" s="102"/>
      <c r="K460" s="104"/>
      <c r="L460" s="63" t="str">
        <f t="shared" ca="1" si="9"/>
        <v/>
      </c>
      <c r="M460" s="104"/>
      <c r="N460" s="105"/>
      <c r="O460" s="104"/>
      <c r="P460" s="102"/>
      <c r="Q460" s="111"/>
      <c r="R460" s="118"/>
      <c r="S460" s="107"/>
      <c r="T460" s="102"/>
      <c r="U460" s="102"/>
      <c r="V460" s="102"/>
      <c r="W460" s="105"/>
      <c r="X460" s="105"/>
      <c r="Y460" s="105"/>
      <c r="Z460" s="105"/>
      <c r="AA460" s="105"/>
      <c r="AB460" s="105"/>
      <c r="AC460" s="109"/>
      <c r="AD460" s="107"/>
      <c r="AE460" s="102"/>
      <c r="AF460" s="109"/>
      <c r="AG460" s="107"/>
      <c r="AH460" s="111"/>
      <c r="AI460" s="111"/>
      <c r="AJ460" s="131" t="str">
        <f t="shared" ca="1" si="10"/>
        <v/>
      </c>
      <c r="AK460" s="102"/>
      <c r="AL460" s="102"/>
      <c r="AM460" s="105"/>
      <c r="AN460" s="105"/>
      <c r="AO460" s="105"/>
      <c r="AP460" s="109"/>
      <c r="AQ460" s="112"/>
      <c r="AR460" s="102"/>
      <c r="AS460" s="102"/>
      <c r="AT460" s="113"/>
      <c r="AU460" s="108"/>
      <c r="AV460" s="107"/>
      <c r="AW460" s="109"/>
      <c r="AX460" s="115">
        <f t="shared" si="11"/>
        <v>1900</v>
      </c>
      <c r="AY460" s="115">
        <f t="shared" si="12"/>
        <v>1900</v>
      </c>
    </row>
    <row r="461" spans="1:51" ht="22.5" customHeight="1">
      <c r="A461" s="102"/>
      <c r="B461" s="102"/>
      <c r="C461" s="102"/>
      <c r="D461" s="102"/>
      <c r="E461" s="102"/>
      <c r="F461" s="102"/>
      <c r="G461" s="102"/>
      <c r="H461" s="102"/>
      <c r="I461" s="102"/>
      <c r="J461" s="102"/>
      <c r="K461" s="104"/>
      <c r="L461" s="63" t="str">
        <f t="shared" ca="1" si="9"/>
        <v/>
      </c>
      <c r="M461" s="104"/>
      <c r="N461" s="105"/>
      <c r="O461" s="104"/>
      <c r="P461" s="102"/>
      <c r="Q461" s="111"/>
      <c r="R461" s="118"/>
      <c r="S461" s="107"/>
      <c r="T461" s="102"/>
      <c r="U461" s="102"/>
      <c r="V461" s="102"/>
      <c r="W461" s="105"/>
      <c r="X461" s="105"/>
      <c r="Y461" s="105"/>
      <c r="Z461" s="105"/>
      <c r="AA461" s="105"/>
      <c r="AB461" s="105"/>
      <c r="AC461" s="109"/>
      <c r="AD461" s="107"/>
      <c r="AE461" s="102"/>
      <c r="AF461" s="109"/>
      <c r="AG461" s="107"/>
      <c r="AH461" s="111"/>
      <c r="AI461" s="111"/>
      <c r="AJ461" s="131" t="str">
        <f t="shared" ca="1" si="10"/>
        <v/>
      </c>
      <c r="AK461" s="102"/>
      <c r="AL461" s="102"/>
      <c r="AM461" s="105"/>
      <c r="AN461" s="105"/>
      <c r="AO461" s="105"/>
      <c r="AP461" s="109"/>
      <c r="AQ461" s="112"/>
      <c r="AR461" s="102"/>
      <c r="AS461" s="102"/>
      <c r="AT461" s="113"/>
      <c r="AU461" s="108"/>
      <c r="AV461" s="107"/>
      <c r="AW461" s="109"/>
      <c r="AX461" s="115">
        <f t="shared" si="11"/>
        <v>1900</v>
      </c>
      <c r="AY461" s="115">
        <f t="shared" si="12"/>
        <v>1900</v>
      </c>
    </row>
    <row r="462" spans="1:51" ht="22.5" customHeight="1">
      <c r="A462" s="102"/>
      <c r="B462" s="102"/>
      <c r="C462" s="102"/>
      <c r="D462" s="102"/>
      <c r="E462" s="102"/>
      <c r="F462" s="102"/>
      <c r="G462" s="102"/>
      <c r="H462" s="102"/>
      <c r="I462" s="102"/>
      <c r="J462" s="102"/>
      <c r="K462" s="104"/>
      <c r="L462" s="63" t="str">
        <f t="shared" ca="1" si="9"/>
        <v/>
      </c>
      <c r="M462" s="104"/>
      <c r="N462" s="105"/>
      <c r="O462" s="104"/>
      <c r="P462" s="102"/>
      <c r="Q462" s="119"/>
      <c r="R462" s="118"/>
      <c r="S462" s="107"/>
      <c r="T462" s="102"/>
      <c r="U462" s="102"/>
      <c r="V462" s="102"/>
      <c r="W462" s="105"/>
      <c r="X462" s="105"/>
      <c r="Y462" s="105"/>
      <c r="Z462" s="105"/>
      <c r="AA462" s="105"/>
      <c r="AB462" s="105"/>
      <c r="AC462" s="109"/>
      <c r="AD462" s="107"/>
      <c r="AE462" s="102"/>
      <c r="AF462" s="109"/>
      <c r="AG462" s="120"/>
      <c r="AH462" s="119"/>
      <c r="AI462" s="111"/>
      <c r="AJ462" s="131" t="str">
        <f t="shared" ca="1" si="10"/>
        <v/>
      </c>
      <c r="AK462" s="102"/>
      <c r="AL462" s="102"/>
      <c r="AM462" s="105"/>
      <c r="AN462" s="105"/>
      <c r="AO462" s="105"/>
      <c r="AP462" s="109"/>
      <c r="AQ462" s="112"/>
      <c r="AR462" s="102"/>
      <c r="AS462" s="102"/>
      <c r="AT462" s="113"/>
      <c r="AU462" s="108"/>
      <c r="AV462" s="107"/>
      <c r="AW462" s="109"/>
      <c r="AX462" s="115">
        <f t="shared" si="11"/>
        <v>1900</v>
      </c>
      <c r="AY462" s="115">
        <f t="shared" si="12"/>
        <v>1900</v>
      </c>
    </row>
    <row r="463" spans="1:51" ht="22.5" customHeight="1">
      <c r="A463" s="102"/>
      <c r="B463" s="102"/>
      <c r="C463" s="102"/>
      <c r="D463" s="102"/>
      <c r="E463" s="102"/>
      <c r="F463" s="102"/>
      <c r="G463" s="102"/>
      <c r="H463" s="102"/>
      <c r="I463" s="102"/>
      <c r="J463" s="102"/>
      <c r="K463" s="104"/>
      <c r="L463" s="63" t="str">
        <f t="shared" ca="1" si="9"/>
        <v/>
      </c>
      <c r="M463" s="104"/>
      <c r="N463" s="105"/>
      <c r="O463" s="104"/>
      <c r="P463" s="102"/>
      <c r="Q463" s="119"/>
      <c r="R463" s="118"/>
      <c r="S463" s="107"/>
      <c r="T463" s="102"/>
      <c r="U463" s="102"/>
      <c r="V463" s="102"/>
      <c r="W463" s="105"/>
      <c r="X463" s="105"/>
      <c r="Y463" s="105"/>
      <c r="Z463" s="105"/>
      <c r="AA463" s="105"/>
      <c r="AB463" s="105"/>
      <c r="AC463" s="109"/>
      <c r="AD463" s="107"/>
      <c r="AE463" s="102"/>
      <c r="AF463" s="109"/>
      <c r="AG463" s="120"/>
      <c r="AH463" s="119"/>
      <c r="AI463" s="111"/>
      <c r="AJ463" s="131" t="str">
        <f t="shared" ca="1" si="10"/>
        <v/>
      </c>
      <c r="AK463" s="102"/>
      <c r="AL463" s="102"/>
      <c r="AM463" s="105"/>
      <c r="AN463" s="105"/>
      <c r="AO463" s="105"/>
      <c r="AP463" s="109"/>
      <c r="AQ463" s="112"/>
      <c r="AR463" s="102"/>
      <c r="AS463" s="102"/>
      <c r="AT463" s="113"/>
      <c r="AU463" s="108"/>
      <c r="AV463" s="107"/>
      <c r="AW463" s="109"/>
      <c r="AX463" s="115">
        <f t="shared" si="11"/>
        <v>1900</v>
      </c>
      <c r="AY463" s="115">
        <f t="shared" si="12"/>
        <v>1900</v>
      </c>
    </row>
    <row r="464" spans="1:51" ht="22.5" customHeight="1">
      <c r="A464" s="102"/>
      <c r="B464" s="102"/>
      <c r="C464" s="102"/>
      <c r="D464" s="102"/>
      <c r="E464" s="102"/>
      <c r="F464" s="102"/>
      <c r="G464" s="102"/>
      <c r="H464" s="102"/>
      <c r="I464" s="102"/>
      <c r="J464" s="102"/>
      <c r="K464" s="104"/>
      <c r="L464" s="63" t="str">
        <f t="shared" ca="1" si="9"/>
        <v/>
      </c>
      <c r="M464" s="104"/>
      <c r="N464" s="105"/>
      <c r="O464" s="104"/>
      <c r="P464" s="102"/>
      <c r="Q464" s="119"/>
      <c r="R464" s="118"/>
      <c r="S464" s="107"/>
      <c r="T464" s="102"/>
      <c r="U464" s="102"/>
      <c r="V464" s="102"/>
      <c r="W464" s="105"/>
      <c r="X464" s="105"/>
      <c r="Y464" s="105"/>
      <c r="Z464" s="105"/>
      <c r="AA464" s="105"/>
      <c r="AB464" s="105"/>
      <c r="AC464" s="109"/>
      <c r="AD464" s="107"/>
      <c r="AE464" s="102"/>
      <c r="AF464" s="109"/>
      <c r="AG464" s="120"/>
      <c r="AH464" s="119"/>
      <c r="AI464" s="111"/>
      <c r="AJ464" s="131" t="str">
        <f t="shared" ca="1" si="10"/>
        <v/>
      </c>
      <c r="AK464" s="102"/>
      <c r="AL464" s="102"/>
      <c r="AM464" s="105"/>
      <c r="AN464" s="105"/>
      <c r="AO464" s="105"/>
      <c r="AP464" s="109"/>
      <c r="AQ464" s="112"/>
      <c r="AR464" s="102"/>
      <c r="AS464" s="102"/>
      <c r="AT464" s="113"/>
      <c r="AU464" s="108"/>
      <c r="AV464" s="107"/>
      <c r="AW464" s="109"/>
      <c r="AX464" s="115">
        <f t="shared" si="11"/>
        <v>1900</v>
      </c>
      <c r="AY464" s="115">
        <f t="shared" si="12"/>
        <v>1900</v>
      </c>
    </row>
    <row r="465" spans="1:51" ht="22.5" customHeight="1">
      <c r="A465" s="102"/>
      <c r="B465" s="102"/>
      <c r="C465" s="102"/>
      <c r="D465" s="102"/>
      <c r="E465" s="102"/>
      <c r="F465" s="102"/>
      <c r="G465" s="102"/>
      <c r="H465" s="102"/>
      <c r="I465" s="102"/>
      <c r="J465" s="102"/>
      <c r="K465" s="104"/>
      <c r="L465" s="63" t="str">
        <f t="shared" ca="1" si="9"/>
        <v/>
      </c>
      <c r="M465" s="104"/>
      <c r="N465" s="105"/>
      <c r="O465" s="104"/>
      <c r="P465" s="102"/>
      <c r="Q465" s="119"/>
      <c r="R465" s="118"/>
      <c r="S465" s="107"/>
      <c r="T465" s="102"/>
      <c r="U465" s="102"/>
      <c r="V465" s="102"/>
      <c r="W465" s="105"/>
      <c r="X465" s="105"/>
      <c r="Y465" s="105"/>
      <c r="Z465" s="105"/>
      <c r="AA465" s="105"/>
      <c r="AB465" s="105"/>
      <c r="AC465" s="109"/>
      <c r="AD465" s="107"/>
      <c r="AE465" s="102"/>
      <c r="AF465" s="109"/>
      <c r="AG465" s="121"/>
      <c r="AH465" s="119"/>
      <c r="AI465" s="111"/>
      <c r="AJ465" s="131" t="str">
        <f t="shared" ca="1" si="10"/>
        <v/>
      </c>
      <c r="AK465" s="102"/>
      <c r="AL465" s="102"/>
      <c r="AM465" s="105"/>
      <c r="AN465" s="105"/>
      <c r="AO465" s="105"/>
      <c r="AP465" s="109"/>
      <c r="AQ465" s="112"/>
      <c r="AR465" s="102"/>
      <c r="AS465" s="102"/>
      <c r="AT465" s="113"/>
      <c r="AU465" s="108"/>
      <c r="AV465" s="107"/>
      <c r="AW465" s="109"/>
      <c r="AX465" s="115">
        <f t="shared" si="11"/>
        <v>1900</v>
      </c>
      <c r="AY465" s="115">
        <f t="shared" si="12"/>
        <v>1900</v>
      </c>
    </row>
    <row r="466" spans="1:51" ht="22.5" customHeight="1">
      <c r="A466" s="102"/>
      <c r="B466" s="102"/>
      <c r="C466" s="102"/>
      <c r="D466" s="102"/>
      <c r="E466" s="102"/>
      <c r="F466" s="102"/>
      <c r="G466" s="102"/>
      <c r="H466" s="102"/>
      <c r="I466" s="102"/>
      <c r="J466" s="102"/>
      <c r="K466" s="104"/>
      <c r="L466" s="63" t="str">
        <f t="shared" ca="1" si="9"/>
        <v/>
      </c>
      <c r="M466" s="104"/>
      <c r="N466" s="105"/>
      <c r="O466" s="104"/>
      <c r="P466" s="102"/>
      <c r="Q466" s="119"/>
      <c r="R466" s="118"/>
      <c r="S466" s="107"/>
      <c r="T466" s="102"/>
      <c r="U466" s="102"/>
      <c r="V466" s="102"/>
      <c r="W466" s="105"/>
      <c r="X466" s="105"/>
      <c r="Y466" s="105"/>
      <c r="Z466" s="105"/>
      <c r="AA466" s="105"/>
      <c r="AB466" s="105"/>
      <c r="AC466" s="109"/>
      <c r="AD466" s="107"/>
      <c r="AE466" s="102"/>
      <c r="AF466" s="109"/>
      <c r="AG466" s="120"/>
      <c r="AH466" s="119"/>
      <c r="AI466" s="111"/>
      <c r="AJ466" s="131" t="str">
        <f t="shared" ca="1" si="10"/>
        <v/>
      </c>
      <c r="AK466" s="102"/>
      <c r="AL466" s="102"/>
      <c r="AM466" s="105"/>
      <c r="AN466" s="105"/>
      <c r="AO466" s="105"/>
      <c r="AP466" s="109"/>
      <c r="AQ466" s="112"/>
      <c r="AR466" s="102"/>
      <c r="AS466" s="102"/>
      <c r="AT466" s="113"/>
      <c r="AU466" s="108"/>
      <c r="AV466" s="107"/>
      <c r="AW466" s="109"/>
      <c r="AX466" s="115">
        <f t="shared" si="11"/>
        <v>1900</v>
      </c>
      <c r="AY466" s="115">
        <f t="shared" si="12"/>
        <v>1900</v>
      </c>
    </row>
    <row r="467" spans="1:51" ht="22.5" customHeight="1">
      <c r="A467" s="102"/>
      <c r="B467" s="102"/>
      <c r="C467" s="102"/>
      <c r="D467" s="102"/>
      <c r="E467" s="102"/>
      <c r="F467" s="102"/>
      <c r="G467" s="102"/>
      <c r="H467" s="102"/>
      <c r="I467" s="102"/>
      <c r="J467" s="102"/>
      <c r="K467" s="104"/>
      <c r="L467" s="63" t="str">
        <f t="shared" ca="1" si="9"/>
        <v/>
      </c>
      <c r="M467" s="104"/>
      <c r="N467" s="105"/>
      <c r="O467" s="104"/>
      <c r="P467" s="102"/>
      <c r="Q467" s="119"/>
      <c r="R467" s="118"/>
      <c r="S467" s="107"/>
      <c r="T467" s="102"/>
      <c r="U467" s="102"/>
      <c r="V467" s="102"/>
      <c r="W467" s="105"/>
      <c r="X467" s="105"/>
      <c r="Y467" s="105"/>
      <c r="Z467" s="105"/>
      <c r="AA467" s="105"/>
      <c r="AB467" s="105"/>
      <c r="AC467" s="109"/>
      <c r="AD467" s="107"/>
      <c r="AE467" s="102"/>
      <c r="AF467" s="109"/>
      <c r="AG467" s="120"/>
      <c r="AH467" s="119"/>
      <c r="AI467" s="111"/>
      <c r="AJ467" s="131" t="str">
        <f t="shared" ca="1" si="10"/>
        <v/>
      </c>
      <c r="AK467" s="102"/>
      <c r="AL467" s="102"/>
      <c r="AM467" s="105"/>
      <c r="AN467" s="105"/>
      <c r="AO467" s="105"/>
      <c r="AP467" s="109"/>
      <c r="AQ467" s="112"/>
      <c r="AR467" s="102"/>
      <c r="AS467" s="102"/>
      <c r="AT467" s="113"/>
      <c r="AU467" s="108"/>
      <c r="AV467" s="107"/>
      <c r="AW467" s="109"/>
      <c r="AX467" s="115">
        <f t="shared" si="11"/>
        <v>1900</v>
      </c>
      <c r="AY467" s="115">
        <f t="shared" si="12"/>
        <v>1900</v>
      </c>
    </row>
    <row r="468" spans="1:51" ht="22.5" customHeight="1">
      <c r="A468" s="102"/>
      <c r="B468" s="102"/>
      <c r="C468" s="102"/>
      <c r="D468" s="102"/>
      <c r="E468" s="102"/>
      <c r="F468" s="102"/>
      <c r="G468" s="102"/>
      <c r="H468" s="102"/>
      <c r="I468" s="102"/>
      <c r="J468" s="102"/>
      <c r="K468" s="104"/>
      <c r="L468" s="63" t="str">
        <f t="shared" ca="1" si="9"/>
        <v/>
      </c>
      <c r="M468" s="104"/>
      <c r="N468" s="105"/>
      <c r="O468" s="104"/>
      <c r="P468" s="102"/>
      <c r="Q468" s="111"/>
      <c r="R468" s="118"/>
      <c r="S468" s="107"/>
      <c r="T468" s="102"/>
      <c r="U468" s="102"/>
      <c r="V468" s="102"/>
      <c r="W468" s="105"/>
      <c r="X468" s="105"/>
      <c r="Y468" s="105"/>
      <c r="Z468" s="105"/>
      <c r="AA468" s="105"/>
      <c r="AB468" s="105"/>
      <c r="AC468" s="109"/>
      <c r="AD468" s="107"/>
      <c r="AE468" s="102"/>
      <c r="AF468" s="109"/>
      <c r="AG468" s="107"/>
      <c r="AH468" s="111"/>
      <c r="AI468" s="111"/>
      <c r="AJ468" s="131" t="str">
        <f t="shared" ca="1" si="10"/>
        <v/>
      </c>
      <c r="AK468" s="102"/>
      <c r="AL468" s="102"/>
      <c r="AM468" s="105"/>
      <c r="AN468" s="105"/>
      <c r="AO468" s="105"/>
      <c r="AP468" s="109"/>
      <c r="AQ468" s="112"/>
      <c r="AR468" s="102"/>
      <c r="AS468" s="102"/>
      <c r="AT468" s="113"/>
      <c r="AU468" s="108"/>
      <c r="AV468" s="107"/>
      <c r="AW468" s="109"/>
      <c r="AX468" s="115">
        <f t="shared" si="11"/>
        <v>1900</v>
      </c>
      <c r="AY468" s="115">
        <f t="shared" si="12"/>
        <v>1900</v>
      </c>
    </row>
    <row r="469" spans="1:51" ht="22.5" customHeight="1">
      <c r="A469" s="102"/>
      <c r="B469" s="102"/>
      <c r="C469" s="102"/>
      <c r="D469" s="102"/>
      <c r="E469" s="102"/>
      <c r="F469" s="102"/>
      <c r="G469" s="102"/>
      <c r="H469" s="102"/>
      <c r="I469" s="102"/>
      <c r="J469" s="102"/>
      <c r="K469" s="104"/>
      <c r="L469" s="63" t="str">
        <f t="shared" ca="1" si="9"/>
        <v/>
      </c>
      <c r="M469" s="104"/>
      <c r="N469" s="105"/>
      <c r="O469" s="104"/>
      <c r="P469" s="102"/>
      <c r="Q469" s="111"/>
      <c r="R469" s="118"/>
      <c r="S469" s="107"/>
      <c r="T469" s="102"/>
      <c r="U469" s="102"/>
      <c r="V469" s="102"/>
      <c r="W469" s="105"/>
      <c r="X469" s="105"/>
      <c r="Y469" s="105"/>
      <c r="Z469" s="105"/>
      <c r="AA469" s="105"/>
      <c r="AB469" s="105"/>
      <c r="AC469" s="109"/>
      <c r="AD469" s="107"/>
      <c r="AE469" s="102"/>
      <c r="AF469" s="109"/>
      <c r="AG469" s="107"/>
      <c r="AH469" s="111"/>
      <c r="AI469" s="111"/>
      <c r="AJ469" s="131" t="str">
        <f t="shared" ca="1" si="10"/>
        <v/>
      </c>
      <c r="AK469" s="102"/>
      <c r="AL469" s="102"/>
      <c r="AM469" s="105"/>
      <c r="AN469" s="105"/>
      <c r="AO469" s="105"/>
      <c r="AP469" s="109"/>
      <c r="AQ469" s="112"/>
      <c r="AR469" s="102"/>
      <c r="AS469" s="102"/>
      <c r="AT469" s="113"/>
      <c r="AU469" s="108"/>
      <c r="AV469" s="107"/>
      <c r="AW469" s="109"/>
      <c r="AX469" s="115">
        <f t="shared" si="11"/>
        <v>1900</v>
      </c>
      <c r="AY469" s="115">
        <f t="shared" si="12"/>
        <v>1900</v>
      </c>
    </row>
    <row r="470" spans="1:51" ht="22.5" customHeight="1">
      <c r="A470" s="102"/>
      <c r="B470" s="102"/>
      <c r="C470" s="102"/>
      <c r="D470" s="102"/>
      <c r="E470" s="102"/>
      <c r="F470" s="102"/>
      <c r="G470" s="102"/>
      <c r="H470" s="102"/>
      <c r="I470" s="102"/>
      <c r="J470" s="102"/>
      <c r="K470" s="104"/>
      <c r="L470" s="63" t="str">
        <f t="shared" ca="1" si="9"/>
        <v/>
      </c>
      <c r="M470" s="104"/>
      <c r="N470" s="105"/>
      <c r="O470" s="104"/>
      <c r="P470" s="102"/>
      <c r="Q470" s="111"/>
      <c r="R470" s="118"/>
      <c r="S470" s="107"/>
      <c r="T470" s="102"/>
      <c r="U470" s="102"/>
      <c r="V470" s="102"/>
      <c r="W470" s="105"/>
      <c r="X470" s="105"/>
      <c r="Y470" s="105"/>
      <c r="Z470" s="105"/>
      <c r="AA470" s="105"/>
      <c r="AB470" s="105"/>
      <c r="AC470" s="109"/>
      <c r="AD470" s="107"/>
      <c r="AE470" s="102"/>
      <c r="AF470" s="109"/>
      <c r="AG470" s="107"/>
      <c r="AH470" s="111"/>
      <c r="AI470" s="111"/>
      <c r="AJ470" s="131" t="str">
        <f t="shared" ca="1" si="10"/>
        <v/>
      </c>
      <c r="AK470" s="102"/>
      <c r="AL470" s="102"/>
      <c r="AM470" s="105"/>
      <c r="AN470" s="105"/>
      <c r="AO470" s="105"/>
      <c r="AP470" s="109"/>
      <c r="AQ470" s="112"/>
      <c r="AR470" s="102"/>
      <c r="AS470" s="102"/>
      <c r="AT470" s="113"/>
      <c r="AU470" s="108"/>
      <c r="AV470" s="107"/>
      <c r="AW470" s="109"/>
      <c r="AX470" s="115">
        <f t="shared" si="11"/>
        <v>1900</v>
      </c>
      <c r="AY470" s="115">
        <f t="shared" si="12"/>
        <v>1900</v>
      </c>
    </row>
    <row r="471" spans="1:51" ht="22.5" customHeight="1">
      <c r="A471" s="102"/>
      <c r="B471" s="102"/>
      <c r="C471" s="102"/>
      <c r="D471" s="102"/>
      <c r="E471" s="102"/>
      <c r="F471" s="102"/>
      <c r="G471" s="102"/>
      <c r="H471" s="102"/>
      <c r="I471" s="102"/>
      <c r="J471" s="102"/>
      <c r="K471" s="104"/>
      <c r="L471" s="63" t="str">
        <f t="shared" ca="1" si="9"/>
        <v/>
      </c>
      <c r="M471" s="104"/>
      <c r="N471" s="105"/>
      <c r="O471" s="104"/>
      <c r="P471" s="102"/>
      <c r="Q471" s="111"/>
      <c r="R471" s="118"/>
      <c r="S471" s="107"/>
      <c r="T471" s="102"/>
      <c r="U471" s="102"/>
      <c r="V471" s="102"/>
      <c r="W471" s="105"/>
      <c r="X471" s="105"/>
      <c r="Y471" s="105"/>
      <c r="Z471" s="105"/>
      <c r="AA471" s="105"/>
      <c r="AB471" s="105"/>
      <c r="AC471" s="109"/>
      <c r="AD471" s="107"/>
      <c r="AE471" s="102"/>
      <c r="AF471" s="109"/>
      <c r="AG471" s="107"/>
      <c r="AH471" s="111"/>
      <c r="AI471" s="111"/>
      <c r="AJ471" s="131" t="str">
        <f t="shared" ca="1" si="10"/>
        <v/>
      </c>
      <c r="AK471" s="102"/>
      <c r="AL471" s="102"/>
      <c r="AM471" s="105"/>
      <c r="AN471" s="105"/>
      <c r="AO471" s="105"/>
      <c r="AP471" s="109"/>
      <c r="AQ471" s="112"/>
      <c r="AR471" s="102"/>
      <c r="AS471" s="102"/>
      <c r="AT471" s="113"/>
      <c r="AU471" s="108"/>
      <c r="AV471" s="107"/>
      <c r="AW471" s="109"/>
      <c r="AX471" s="115">
        <f t="shared" si="11"/>
        <v>1900</v>
      </c>
      <c r="AY471" s="115">
        <f t="shared" si="12"/>
        <v>1900</v>
      </c>
    </row>
    <row r="472" spans="1:51" ht="22.5" customHeight="1">
      <c r="A472" s="102"/>
      <c r="B472" s="102"/>
      <c r="C472" s="102"/>
      <c r="D472" s="102"/>
      <c r="E472" s="102"/>
      <c r="F472" s="102"/>
      <c r="G472" s="102"/>
      <c r="H472" s="102"/>
      <c r="I472" s="102"/>
      <c r="J472" s="102"/>
      <c r="K472" s="104"/>
      <c r="L472" s="63" t="str">
        <f t="shared" ca="1" si="9"/>
        <v/>
      </c>
      <c r="M472" s="104"/>
      <c r="N472" s="105"/>
      <c r="O472" s="104"/>
      <c r="P472" s="102"/>
      <c r="Q472" s="111"/>
      <c r="R472" s="118"/>
      <c r="S472" s="107"/>
      <c r="T472" s="102"/>
      <c r="U472" s="102"/>
      <c r="V472" s="102"/>
      <c r="W472" s="105"/>
      <c r="X472" s="105"/>
      <c r="Y472" s="105"/>
      <c r="Z472" s="105"/>
      <c r="AA472" s="105"/>
      <c r="AB472" s="105"/>
      <c r="AC472" s="109"/>
      <c r="AD472" s="107"/>
      <c r="AE472" s="102"/>
      <c r="AF472" s="109"/>
      <c r="AG472" s="107"/>
      <c r="AH472" s="111"/>
      <c r="AI472" s="111"/>
      <c r="AJ472" s="131" t="str">
        <f t="shared" ca="1" si="10"/>
        <v/>
      </c>
      <c r="AK472" s="102"/>
      <c r="AL472" s="102"/>
      <c r="AM472" s="105"/>
      <c r="AN472" s="105"/>
      <c r="AO472" s="105"/>
      <c r="AP472" s="109"/>
      <c r="AQ472" s="112"/>
      <c r="AR472" s="102"/>
      <c r="AS472" s="102"/>
      <c r="AT472" s="113"/>
      <c r="AU472" s="108"/>
      <c r="AV472" s="107"/>
      <c r="AW472" s="109"/>
      <c r="AX472" s="115">
        <f t="shared" si="11"/>
        <v>1900</v>
      </c>
      <c r="AY472" s="115">
        <f t="shared" si="12"/>
        <v>1900</v>
      </c>
    </row>
    <row r="473" spans="1:51" ht="22.5" customHeight="1">
      <c r="A473" s="102"/>
      <c r="B473" s="102"/>
      <c r="C473" s="102"/>
      <c r="D473" s="102"/>
      <c r="E473" s="102"/>
      <c r="F473" s="102"/>
      <c r="G473" s="102"/>
      <c r="H473" s="102"/>
      <c r="I473" s="102"/>
      <c r="J473" s="102"/>
      <c r="K473" s="104"/>
      <c r="L473" s="63" t="str">
        <f t="shared" ca="1" si="9"/>
        <v/>
      </c>
      <c r="M473" s="104"/>
      <c r="N473" s="105"/>
      <c r="O473" s="104"/>
      <c r="P473" s="102"/>
      <c r="Q473" s="111"/>
      <c r="R473" s="118"/>
      <c r="S473" s="107"/>
      <c r="T473" s="102"/>
      <c r="U473" s="102"/>
      <c r="V473" s="102"/>
      <c r="W473" s="105"/>
      <c r="X473" s="105"/>
      <c r="Y473" s="105"/>
      <c r="Z473" s="105"/>
      <c r="AA473" s="105"/>
      <c r="AB473" s="105"/>
      <c r="AC473" s="109"/>
      <c r="AD473" s="107"/>
      <c r="AE473" s="102"/>
      <c r="AF473" s="109"/>
      <c r="AG473" s="107"/>
      <c r="AH473" s="111"/>
      <c r="AI473" s="111"/>
      <c r="AJ473" s="131" t="str">
        <f t="shared" ca="1" si="10"/>
        <v/>
      </c>
      <c r="AK473" s="102"/>
      <c r="AL473" s="102"/>
      <c r="AM473" s="105"/>
      <c r="AN473" s="105"/>
      <c r="AO473" s="105"/>
      <c r="AP473" s="109"/>
      <c r="AQ473" s="112"/>
      <c r="AR473" s="102"/>
      <c r="AS473" s="102"/>
      <c r="AT473" s="113"/>
      <c r="AU473" s="108"/>
      <c r="AV473" s="107"/>
      <c r="AW473" s="109"/>
      <c r="AX473" s="115">
        <f t="shared" si="11"/>
        <v>1900</v>
      </c>
      <c r="AY473" s="115">
        <f t="shared" si="12"/>
        <v>1900</v>
      </c>
    </row>
    <row r="474" spans="1:51" ht="22.5" customHeight="1">
      <c r="A474" s="102"/>
      <c r="B474" s="102"/>
      <c r="C474" s="102"/>
      <c r="D474" s="102"/>
      <c r="E474" s="102"/>
      <c r="F474" s="102"/>
      <c r="G474" s="102"/>
      <c r="H474" s="102"/>
      <c r="I474" s="102"/>
      <c r="J474" s="102"/>
      <c r="K474" s="104"/>
      <c r="L474" s="63" t="str">
        <f t="shared" ca="1" si="9"/>
        <v/>
      </c>
      <c r="M474" s="104"/>
      <c r="N474" s="105"/>
      <c r="O474" s="104"/>
      <c r="P474" s="102"/>
      <c r="Q474" s="111"/>
      <c r="R474" s="118"/>
      <c r="S474" s="107"/>
      <c r="T474" s="102"/>
      <c r="U474" s="102"/>
      <c r="V474" s="102"/>
      <c r="W474" s="105"/>
      <c r="X474" s="105"/>
      <c r="Y474" s="105"/>
      <c r="Z474" s="105"/>
      <c r="AA474" s="105"/>
      <c r="AB474" s="105"/>
      <c r="AC474" s="109"/>
      <c r="AD474" s="107"/>
      <c r="AE474" s="102"/>
      <c r="AF474" s="109"/>
      <c r="AG474" s="107"/>
      <c r="AH474" s="111"/>
      <c r="AI474" s="111"/>
      <c r="AJ474" s="131" t="str">
        <f t="shared" ca="1" si="10"/>
        <v/>
      </c>
      <c r="AK474" s="102"/>
      <c r="AL474" s="102"/>
      <c r="AM474" s="105"/>
      <c r="AN474" s="105"/>
      <c r="AO474" s="105"/>
      <c r="AP474" s="109"/>
      <c r="AQ474" s="112"/>
      <c r="AR474" s="102"/>
      <c r="AS474" s="102"/>
      <c r="AT474" s="113"/>
      <c r="AU474" s="108"/>
      <c r="AV474" s="107"/>
      <c r="AW474" s="109"/>
      <c r="AX474" s="115">
        <f t="shared" si="11"/>
        <v>1900</v>
      </c>
      <c r="AY474" s="115">
        <f t="shared" si="12"/>
        <v>1900</v>
      </c>
    </row>
    <row r="475" spans="1:51" ht="22.5" customHeight="1">
      <c r="A475" s="102"/>
      <c r="B475" s="102"/>
      <c r="C475" s="102"/>
      <c r="D475" s="102"/>
      <c r="E475" s="102"/>
      <c r="F475" s="102"/>
      <c r="G475" s="102"/>
      <c r="H475" s="102"/>
      <c r="I475" s="102"/>
      <c r="J475" s="102"/>
      <c r="K475" s="104"/>
      <c r="L475" s="63" t="str">
        <f t="shared" ca="1" si="9"/>
        <v/>
      </c>
      <c r="M475" s="104"/>
      <c r="N475" s="105"/>
      <c r="O475" s="104"/>
      <c r="P475" s="102"/>
      <c r="Q475" s="119"/>
      <c r="R475" s="118"/>
      <c r="S475" s="107"/>
      <c r="T475" s="102"/>
      <c r="U475" s="102"/>
      <c r="V475" s="102"/>
      <c r="W475" s="105"/>
      <c r="X475" s="105"/>
      <c r="Y475" s="105"/>
      <c r="Z475" s="105"/>
      <c r="AA475" s="105"/>
      <c r="AB475" s="105"/>
      <c r="AC475" s="109"/>
      <c r="AD475" s="107"/>
      <c r="AE475" s="102"/>
      <c r="AF475" s="109"/>
      <c r="AG475" s="120"/>
      <c r="AH475" s="119"/>
      <c r="AI475" s="111"/>
      <c r="AJ475" s="131" t="str">
        <f t="shared" ca="1" si="10"/>
        <v/>
      </c>
      <c r="AK475" s="102"/>
      <c r="AL475" s="102"/>
      <c r="AM475" s="105"/>
      <c r="AN475" s="105"/>
      <c r="AO475" s="105"/>
      <c r="AP475" s="109"/>
      <c r="AQ475" s="112"/>
      <c r="AR475" s="102"/>
      <c r="AS475" s="102"/>
      <c r="AT475" s="113"/>
      <c r="AU475" s="108"/>
      <c r="AV475" s="107"/>
      <c r="AW475" s="109"/>
      <c r="AX475" s="115">
        <f t="shared" si="11"/>
        <v>1900</v>
      </c>
      <c r="AY475" s="115">
        <f t="shared" si="12"/>
        <v>1900</v>
      </c>
    </row>
    <row r="476" spans="1:51" ht="22.5" customHeight="1">
      <c r="A476" s="102"/>
      <c r="B476" s="102"/>
      <c r="C476" s="102"/>
      <c r="D476" s="102"/>
      <c r="E476" s="102"/>
      <c r="F476" s="102"/>
      <c r="G476" s="102"/>
      <c r="H476" s="102"/>
      <c r="I476" s="102"/>
      <c r="J476" s="102"/>
      <c r="K476" s="104"/>
      <c r="L476" s="63" t="str">
        <f t="shared" ca="1" si="9"/>
        <v/>
      </c>
      <c r="M476" s="104"/>
      <c r="N476" s="105"/>
      <c r="O476" s="104"/>
      <c r="P476" s="102"/>
      <c r="Q476" s="119"/>
      <c r="R476" s="118"/>
      <c r="S476" s="107"/>
      <c r="T476" s="102"/>
      <c r="U476" s="102"/>
      <c r="V476" s="102"/>
      <c r="W476" s="105"/>
      <c r="X476" s="105"/>
      <c r="Y476" s="105"/>
      <c r="Z476" s="105"/>
      <c r="AA476" s="105"/>
      <c r="AB476" s="105"/>
      <c r="AC476" s="109"/>
      <c r="AD476" s="107"/>
      <c r="AE476" s="102"/>
      <c r="AF476" s="109"/>
      <c r="AG476" s="120"/>
      <c r="AH476" s="119"/>
      <c r="AI476" s="111"/>
      <c r="AJ476" s="131" t="str">
        <f t="shared" ca="1" si="10"/>
        <v/>
      </c>
      <c r="AK476" s="102"/>
      <c r="AL476" s="102"/>
      <c r="AM476" s="105"/>
      <c r="AN476" s="105"/>
      <c r="AO476" s="105"/>
      <c r="AP476" s="109"/>
      <c r="AQ476" s="112"/>
      <c r="AR476" s="102"/>
      <c r="AS476" s="102"/>
      <c r="AT476" s="113"/>
      <c r="AU476" s="108"/>
      <c r="AV476" s="107"/>
      <c r="AW476" s="109"/>
      <c r="AX476" s="115">
        <f t="shared" si="11"/>
        <v>1900</v>
      </c>
      <c r="AY476" s="115">
        <f t="shared" si="12"/>
        <v>1900</v>
      </c>
    </row>
    <row r="477" spans="1:51" ht="22.5" customHeight="1">
      <c r="A477" s="102"/>
      <c r="B477" s="102"/>
      <c r="C477" s="102"/>
      <c r="D477" s="102"/>
      <c r="E477" s="102"/>
      <c r="F477" s="102"/>
      <c r="G477" s="102"/>
      <c r="H477" s="102"/>
      <c r="I477" s="102"/>
      <c r="J477" s="102"/>
      <c r="K477" s="104"/>
      <c r="L477" s="63" t="str">
        <f t="shared" ca="1" si="9"/>
        <v/>
      </c>
      <c r="M477" s="104"/>
      <c r="N477" s="105"/>
      <c r="O477" s="104"/>
      <c r="P477" s="102"/>
      <c r="Q477" s="119"/>
      <c r="R477" s="118"/>
      <c r="S477" s="107"/>
      <c r="T477" s="102"/>
      <c r="U477" s="102"/>
      <c r="V477" s="102"/>
      <c r="W477" s="105"/>
      <c r="X477" s="105"/>
      <c r="Y477" s="105"/>
      <c r="Z477" s="105"/>
      <c r="AA477" s="105"/>
      <c r="AB477" s="105"/>
      <c r="AC477" s="109"/>
      <c r="AD477" s="107"/>
      <c r="AE477" s="102"/>
      <c r="AF477" s="109"/>
      <c r="AG477" s="120"/>
      <c r="AH477" s="119"/>
      <c r="AI477" s="111"/>
      <c r="AJ477" s="131" t="str">
        <f t="shared" ca="1" si="10"/>
        <v/>
      </c>
      <c r="AK477" s="102"/>
      <c r="AL477" s="102"/>
      <c r="AM477" s="105"/>
      <c r="AN477" s="105"/>
      <c r="AO477" s="105"/>
      <c r="AP477" s="109"/>
      <c r="AQ477" s="112"/>
      <c r="AR477" s="102"/>
      <c r="AS477" s="102"/>
      <c r="AT477" s="113"/>
      <c r="AU477" s="108"/>
      <c r="AV477" s="107"/>
      <c r="AW477" s="109"/>
      <c r="AX477" s="115">
        <f t="shared" si="11"/>
        <v>1900</v>
      </c>
      <c r="AY477" s="115">
        <f t="shared" si="12"/>
        <v>1900</v>
      </c>
    </row>
    <row r="478" spans="1:51" ht="22.5" customHeight="1">
      <c r="A478" s="102"/>
      <c r="B478" s="102"/>
      <c r="C478" s="102"/>
      <c r="D478" s="102"/>
      <c r="E478" s="102"/>
      <c r="F478" s="102"/>
      <c r="G478" s="102"/>
      <c r="H478" s="102"/>
      <c r="I478" s="102"/>
      <c r="J478" s="102"/>
      <c r="K478" s="104"/>
      <c r="L478" s="63" t="str">
        <f t="shared" ca="1" si="9"/>
        <v/>
      </c>
      <c r="M478" s="104"/>
      <c r="N478" s="105"/>
      <c r="O478" s="104"/>
      <c r="P478" s="102"/>
      <c r="Q478" s="119"/>
      <c r="R478" s="118"/>
      <c r="S478" s="107"/>
      <c r="T478" s="102"/>
      <c r="U478" s="102"/>
      <c r="V478" s="102"/>
      <c r="W478" s="105"/>
      <c r="X478" s="105"/>
      <c r="Y478" s="105"/>
      <c r="Z478" s="105"/>
      <c r="AA478" s="105"/>
      <c r="AB478" s="105"/>
      <c r="AC478" s="109"/>
      <c r="AD478" s="107"/>
      <c r="AE478" s="102"/>
      <c r="AF478" s="109"/>
      <c r="AG478" s="121"/>
      <c r="AH478" s="119"/>
      <c r="AI478" s="111"/>
      <c r="AJ478" s="131" t="str">
        <f t="shared" ca="1" si="10"/>
        <v/>
      </c>
      <c r="AK478" s="102"/>
      <c r="AL478" s="102"/>
      <c r="AM478" s="105"/>
      <c r="AN478" s="105"/>
      <c r="AO478" s="105"/>
      <c r="AP478" s="109"/>
      <c r="AQ478" s="112"/>
      <c r="AR478" s="102"/>
      <c r="AS478" s="102"/>
      <c r="AT478" s="113"/>
      <c r="AU478" s="108"/>
      <c r="AV478" s="107"/>
      <c r="AW478" s="109"/>
      <c r="AX478" s="115">
        <f t="shared" si="11"/>
        <v>1900</v>
      </c>
      <c r="AY478" s="115">
        <f t="shared" si="12"/>
        <v>1900</v>
      </c>
    </row>
    <row r="479" spans="1:51" ht="22.5" customHeight="1">
      <c r="A479" s="102"/>
      <c r="B479" s="102"/>
      <c r="C479" s="102"/>
      <c r="D479" s="102"/>
      <c r="E479" s="102"/>
      <c r="F479" s="102"/>
      <c r="G479" s="102"/>
      <c r="H479" s="102"/>
      <c r="I479" s="102"/>
      <c r="J479" s="102"/>
      <c r="K479" s="104"/>
      <c r="L479" s="63" t="str">
        <f t="shared" ca="1" si="9"/>
        <v/>
      </c>
      <c r="M479" s="104"/>
      <c r="N479" s="105"/>
      <c r="O479" s="104"/>
      <c r="P479" s="102"/>
      <c r="Q479" s="119"/>
      <c r="R479" s="118"/>
      <c r="S479" s="107"/>
      <c r="T479" s="102"/>
      <c r="U479" s="102"/>
      <c r="V479" s="102"/>
      <c r="W479" s="105"/>
      <c r="X479" s="105"/>
      <c r="Y479" s="105"/>
      <c r="Z479" s="105"/>
      <c r="AA479" s="105"/>
      <c r="AB479" s="105"/>
      <c r="AC479" s="109"/>
      <c r="AD479" s="107"/>
      <c r="AE479" s="102"/>
      <c r="AF479" s="109"/>
      <c r="AG479" s="120"/>
      <c r="AH479" s="119"/>
      <c r="AI479" s="111"/>
      <c r="AJ479" s="131" t="str">
        <f t="shared" ca="1" si="10"/>
        <v/>
      </c>
      <c r="AK479" s="102"/>
      <c r="AL479" s="102"/>
      <c r="AM479" s="105"/>
      <c r="AN479" s="105"/>
      <c r="AO479" s="105"/>
      <c r="AP479" s="109"/>
      <c r="AQ479" s="112"/>
      <c r="AR479" s="102"/>
      <c r="AS479" s="102"/>
      <c r="AT479" s="113"/>
      <c r="AU479" s="108"/>
      <c r="AV479" s="107"/>
      <c r="AW479" s="109"/>
      <c r="AX479" s="115">
        <f t="shared" si="11"/>
        <v>1900</v>
      </c>
      <c r="AY479" s="115">
        <f t="shared" si="12"/>
        <v>1900</v>
      </c>
    </row>
    <row r="480" spans="1:51" ht="22.5" customHeight="1">
      <c r="A480" s="102"/>
      <c r="B480" s="102"/>
      <c r="C480" s="102"/>
      <c r="D480" s="102"/>
      <c r="E480" s="102"/>
      <c r="F480" s="102"/>
      <c r="G480" s="102"/>
      <c r="H480" s="102"/>
      <c r="I480" s="102"/>
      <c r="J480" s="102"/>
      <c r="K480" s="104"/>
      <c r="L480" s="63" t="str">
        <f t="shared" ca="1" si="9"/>
        <v/>
      </c>
      <c r="M480" s="104"/>
      <c r="N480" s="105"/>
      <c r="O480" s="104"/>
      <c r="P480" s="102"/>
      <c r="Q480" s="119"/>
      <c r="R480" s="118"/>
      <c r="S480" s="107"/>
      <c r="T480" s="102"/>
      <c r="U480" s="102"/>
      <c r="V480" s="102"/>
      <c r="W480" s="105"/>
      <c r="X480" s="105"/>
      <c r="Y480" s="105"/>
      <c r="Z480" s="105"/>
      <c r="AA480" s="105"/>
      <c r="AB480" s="105"/>
      <c r="AC480" s="109"/>
      <c r="AD480" s="107"/>
      <c r="AE480" s="102"/>
      <c r="AF480" s="109"/>
      <c r="AG480" s="120"/>
      <c r="AH480" s="119"/>
      <c r="AI480" s="111"/>
      <c r="AJ480" s="131" t="str">
        <f t="shared" ca="1" si="10"/>
        <v/>
      </c>
      <c r="AK480" s="102"/>
      <c r="AL480" s="102"/>
      <c r="AM480" s="105"/>
      <c r="AN480" s="105"/>
      <c r="AO480" s="105"/>
      <c r="AP480" s="109"/>
      <c r="AQ480" s="112"/>
      <c r="AR480" s="102"/>
      <c r="AS480" s="102"/>
      <c r="AT480" s="113"/>
      <c r="AU480" s="108"/>
      <c r="AV480" s="107"/>
      <c r="AW480" s="109"/>
      <c r="AX480" s="115">
        <f t="shared" si="11"/>
        <v>1900</v>
      </c>
      <c r="AY480" s="115">
        <f t="shared" si="12"/>
        <v>1900</v>
      </c>
    </row>
    <row r="481" spans="1:51" ht="22.5" customHeight="1">
      <c r="A481" s="102"/>
      <c r="B481" s="102"/>
      <c r="C481" s="102"/>
      <c r="D481" s="102"/>
      <c r="E481" s="102"/>
      <c r="F481" s="102"/>
      <c r="G481" s="102"/>
      <c r="H481" s="102"/>
      <c r="I481" s="102"/>
      <c r="J481" s="102"/>
      <c r="K481" s="104"/>
      <c r="L481" s="63" t="str">
        <f t="shared" ca="1" si="9"/>
        <v/>
      </c>
      <c r="M481" s="104"/>
      <c r="N481" s="105"/>
      <c r="O481" s="104"/>
      <c r="P481" s="102"/>
      <c r="Q481" s="111"/>
      <c r="R481" s="118"/>
      <c r="S481" s="107"/>
      <c r="T481" s="102"/>
      <c r="U481" s="102"/>
      <c r="V481" s="102"/>
      <c r="W481" s="105"/>
      <c r="X481" s="105"/>
      <c r="Y481" s="105"/>
      <c r="Z481" s="105"/>
      <c r="AA481" s="105"/>
      <c r="AB481" s="105"/>
      <c r="AC481" s="109"/>
      <c r="AD481" s="107"/>
      <c r="AE481" s="102"/>
      <c r="AF481" s="109"/>
      <c r="AG481" s="107"/>
      <c r="AH481" s="111"/>
      <c r="AI481" s="111"/>
      <c r="AJ481" s="131" t="str">
        <f t="shared" ca="1" si="10"/>
        <v/>
      </c>
      <c r="AK481" s="102"/>
      <c r="AL481" s="102"/>
      <c r="AM481" s="105"/>
      <c r="AN481" s="105"/>
      <c r="AO481" s="105"/>
      <c r="AP481" s="109"/>
      <c r="AQ481" s="112"/>
      <c r="AR481" s="102"/>
      <c r="AS481" s="102"/>
      <c r="AT481" s="113"/>
      <c r="AU481" s="108"/>
      <c r="AV481" s="107"/>
      <c r="AW481" s="109"/>
      <c r="AX481" s="115">
        <f t="shared" si="11"/>
        <v>1900</v>
      </c>
      <c r="AY481" s="115">
        <f t="shared" si="12"/>
        <v>1900</v>
      </c>
    </row>
    <row r="482" spans="1:51" ht="22.5" customHeight="1">
      <c r="A482" s="102"/>
      <c r="B482" s="102"/>
      <c r="C482" s="102"/>
      <c r="D482" s="102"/>
      <c r="E482" s="102"/>
      <c r="F482" s="102"/>
      <c r="G482" s="102"/>
      <c r="H482" s="102"/>
      <c r="I482" s="102"/>
      <c r="J482" s="102"/>
      <c r="K482" s="104"/>
      <c r="L482" s="63" t="str">
        <f t="shared" ca="1" si="9"/>
        <v/>
      </c>
      <c r="M482" s="104"/>
      <c r="N482" s="105"/>
      <c r="O482" s="104"/>
      <c r="P482" s="102"/>
      <c r="Q482" s="111"/>
      <c r="R482" s="118"/>
      <c r="S482" s="107"/>
      <c r="T482" s="102"/>
      <c r="U482" s="102"/>
      <c r="V482" s="102"/>
      <c r="W482" s="105"/>
      <c r="X482" s="105"/>
      <c r="Y482" s="105"/>
      <c r="Z482" s="105"/>
      <c r="AA482" s="105"/>
      <c r="AB482" s="105"/>
      <c r="AC482" s="109"/>
      <c r="AD482" s="107"/>
      <c r="AE482" s="102"/>
      <c r="AF482" s="109"/>
      <c r="AG482" s="107"/>
      <c r="AH482" s="111"/>
      <c r="AI482" s="111"/>
      <c r="AJ482" s="131" t="str">
        <f t="shared" ca="1" si="10"/>
        <v/>
      </c>
      <c r="AK482" s="102"/>
      <c r="AL482" s="102"/>
      <c r="AM482" s="105"/>
      <c r="AN482" s="105"/>
      <c r="AO482" s="105"/>
      <c r="AP482" s="109"/>
      <c r="AQ482" s="112"/>
      <c r="AR482" s="102"/>
      <c r="AS482" s="102"/>
      <c r="AT482" s="113"/>
      <c r="AU482" s="108"/>
      <c r="AV482" s="107"/>
      <c r="AW482" s="109"/>
      <c r="AX482" s="115">
        <f t="shared" si="11"/>
        <v>1900</v>
      </c>
      <c r="AY482" s="115">
        <f t="shared" si="12"/>
        <v>1900</v>
      </c>
    </row>
    <row r="483" spans="1:51" ht="22.5" customHeight="1">
      <c r="A483" s="102"/>
      <c r="B483" s="102"/>
      <c r="C483" s="102"/>
      <c r="D483" s="102"/>
      <c r="E483" s="102"/>
      <c r="F483" s="102"/>
      <c r="G483" s="102"/>
      <c r="H483" s="102"/>
      <c r="I483" s="102"/>
      <c r="J483" s="102"/>
      <c r="K483" s="104"/>
      <c r="L483" s="63" t="str">
        <f t="shared" ca="1" si="9"/>
        <v/>
      </c>
      <c r="M483" s="104"/>
      <c r="N483" s="105"/>
      <c r="O483" s="104"/>
      <c r="P483" s="102"/>
      <c r="Q483" s="111"/>
      <c r="R483" s="118"/>
      <c r="S483" s="107"/>
      <c r="T483" s="102"/>
      <c r="U483" s="102"/>
      <c r="V483" s="102"/>
      <c r="W483" s="105"/>
      <c r="X483" s="105"/>
      <c r="Y483" s="105"/>
      <c r="Z483" s="105"/>
      <c r="AA483" s="105"/>
      <c r="AB483" s="105"/>
      <c r="AC483" s="109"/>
      <c r="AD483" s="107"/>
      <c r="AE483" s="102"/>
      <c r="AF483" s="109"/>
      <c r="AG483" s="107"/>
      <c r="AH483" s="111"/>
      <c r="AI483" s="111"/>
      <c r="AJ483" s="131" t="str">
        <f t="shared" ca="1" si="10"/>
        <v/>
      </c>
      <c r="AK483" s="102"/>
      <c r="AL483" s="102"/>
      <c r="AM483" s="105"/>
      <c r="AN483" s="105"/>
      <c r="AO483" s="105"/>
      <c r="AP483" s="109"/>
      <c r="AQ483" s="112"/>
      <c r="AR483" s="102"/>
      <c r="AS483" s="102"/>
      <c r="AT483" s="113"/>
      <c r="AU483" s="108"/>
      <c r="AV483" s="107"/>
      <c r="AW483" s="109"/>
      <c r="AX483" s="115">
        <f t="shared" si="11"/>
        <v>1900</v>
      </c>
      <c r="AY483" s="115">
        <f t="shared" si="12"/>
        <v>1900</v>
      </c>
    </row>
    <row r="484" spans="1:51" ht="22.5" customHeight="1">
      <c r="A484" s="102"/>
      <c r="B484" s="102"/>
      <c r="C484" s="102"/>
      <c r="D484" s="102"/>
      <c r="E484" s="102"/>
      <c r="F484" s="102"/>
      <c r="G484" s="102"/>
      <c r="H484" s="102"/>
      <c r="I484" s="102"/>
      <c r="J484" s="102"/>
      <c r="K484" s="104"/>
      <c r="L484" s="63" t="str">
        <f t="shared" ca="1" si="9"/>
        <v/>
      </c>
      <c r="M484" s="104"/>
      <c r="N484" s="105"/>
      <c r="O484" s="104"/>
      <c r="P484" s="102"/>
      <c r="Q484" s="111"/>
      <c r="R484" s="118"/>
      <c r="S484" s="107"/>
      <c r="T484" s="102"/>
      <c r="U484" s="102"/>
      <c r="V484" s="102"/>
      <c r="W484" s="105"/>
      <c r="X484" s="105"/>
      <c r="Y484" s="105"/>
      <c r="Z484" s="105"/>
      <c r="AA484" s="105"/>
      <c r="AB484" s="105"/>
      <c r="AC484" s="109"/>
      <c r="AD484" s="107"/>
      <c r="AE484" s="102"/>
      <c r="AF484" s="109"/>
      <c r="AG484" s="107"/>
      <c r="AH484" s="111"/>
      <c r="AI484" s="111"/>
      <c r="AJ484" s="131" t="str">
        <f t="shared" ca="1" si="10"/>
        <v/>
      </c>
      <c r="AK484" s="102"/>
      <c r="AL484" s="102"/>
      <c r="AM484" s="105"/>
      <c r="AN484" s="105"/>
      <c r="AO484" s="105"/>
      <c r="AP484" s="109"/>
      <c r="AQ484" s="112"/>
      <c r="AR484" s="102"/>
      <c r="AS484" s="102"/>
      <c r="AT484" s="113"/>
      <c r="AU484" s="108"/>
      <c r="AV484" s="107"/>
      <c r="AW484" s="109"/>
      <c r="AX484" s="115">
        <f t="shared" si="11"/>
        <v>1900</v>
      </c>
      <c r="AY484" s="115">
        <f t="shared" si="12"/>
        <v>1900</v>
      </c>
    </row>
    <row r="485" spans="1:51" ht="22.5" customHeight="1">
      <c r="A485" s="102"/>
      <c r="B485" s="102"/>
      <c r="C485" s="102"/>
      <c r="D485" s="102"/>
      <c r="E485" s="102"/>
      <c r="F485" s="102"/>
      <c r="G485" s="102"/>
      <c r="H485" s="102"/>
      <c r="I485" s="102"/>
      <c r="J485" s="102"/>
      <c r="K485" s="104"/>
      <c r="L485" s="63" t="str">
        <f t="shared" ca="1" si="9"/>
        <v/>
      </c>
      <c r="M485" s="104"/>
      <c r="N485" s="105"/>
      <c r="O485" s="104"/>
      <c r="P485" s="102"/>
      <c r="Q485" s="111"/>
      <c r="R485" s="118"/>
      <c r="S485" s="107"/>
      <c r="T485" s="102"/>
      <c r="U485" s="102"/>
      <c r="V485" s="102"/>
      <c r="W485" s="105"/>
      <c r="X485" s="105"/>
      <c r="Y485" s="105"/>
      <c r="Z485" s="105"/>
      <c r="AA485" s="105"/>
      <c r="AB485" s="105"/>
      <c r="AC485" s="109"/>
      <c r="AD485" s="107"/>
      <c r="AE485" s="102"/>
      <c r="AF485" s="109"/>
      <c r="AG485" s="107"/>
      <c r="AH485" s="111"/>
      <c r="AI485" s="111"/>
      <c r="AJ485" s="131" t="str">
        <f t="shared" ca="1" si="10"/>
        <v/>
      </c>
      <c r="AK485" s="102"/>
      <c r="AL485" s="102"/>
      <c r="AM485" s="105"/>
      <c r="AN485" s="105"/>
      <c r="AO485" s="105"/>
      <c r="AP485" s="109"/>
      <c r="AQ485" s="112"/>
      <c r="AR485" s="102"/>
      <c r="AS485" s="102"/>
      <c r="AT485" s="113"/>
      <c r="AU485" s="108"/>
      <c r="AV485" s="107"/>
      <c r="AW485" s="109"/>
      <c r="AX485" s="115">
        <f t="shared" si="11"/>
        <v>1900</v>
      </c>
      <c r="AY485" s="115">
        <f t="shared" si="12"/>
        <v>1900</v>
      </c>
    </row>
    <row r="486" spans="1:51" ht="22.5" customHeight="1">
      <c r="A486" s="102"/>
      <c r="B486" s="102"/>
      <c r="C486" s="102"/>
      <c r="D486" s="102"/>
      <c r="E486" s="102"/>
      <c r="F486" s="102"/>
      <c r="G486" s="102"/>
      <c r="H486" s="102"/>
      <c r="I486" s="102"/>
      <c r="J486" s="102"/>
      <c r="K486" s="104"/>
      <c r="L486" s="63" t="str">
        <f t="shared" ca="1" si="9"/>
        <v/>
      </c>
      <c r="M486" s="104"/>
      <c r="N486" s="105"/>
      <c r="O486" s="104"/>
      <c r="P486" s="102"/>
      <c r="Q486" s="111"/>
      <c r="R486" s="118"/>
      <c r="S486" s="107"/>
      <c r="T486" s="102"/>
      <c r="U486" s="102"/>
      <c r="V486" s="102"/>
      <c r="W486" s="105"/>
      <c r="X486" s="105"/>
      <c r="Y486" s="105"/>
      <c r="Z486" s="105"/>
      <c r="AA486" s="105"/>
      <c r="AB486" s="105"/>
      <c r="AC486" s="109"/>
      <c r="AD486" s="107"/>
      <c r="AE486" s="102"/>
      <c r="AF486" s="109"/>
      <c r="AG486" s="107"/>
      <c r="AH486" s="111"/>
      <c r="AI486" s="111"/>
      <c r="AJ486" s="131" t="str">
        <f t="shared" ca="1" si="10"/>
        <v/>
      </c>
      <c r="AK486" s="102"/>
      <c r="AL486" s="102"/>
      <c r="AM486" s="105"/>
      <c r="AN486" s="105"/>
      <c r="AO486" s="105"/>
      <c r="AP486" s="109"/>
      <c r="AQ486" s="112"/>
      <c r="AR486" s="102"/>
      <c r="AS486" s="102"/>
      <c r="AT486" s="113"/>
      <c r="AU486" s="108"/>
      <c r="AV486" s="107"/>
      <c r="AW486" s="109"/>
      <c r="AX486" s="115">
        <f t="shared" si="11"/>
        <v>1900</v>
      </c>
      <c r="AY486" s="115">
        <f t="shared" si="12"/>
        <v>1900</v>
      </c>
    </row>
    <row r="487" spans="1:51" ht="22.5" customHeight="1">
      <c r="A487" s="102"/>
      <c r="B487" s="102"/>
      <c r="C487" s="102"/>
      <c r="D487" s="102"/>
      <c r="E487" s="102"/>
      <c r="F487" s="102"/>
      <c r="G487" s="102"/>
      <c r="H487" s="102"/>
      <c r="I487" s="102"/>
      <c r="J487" s="102"/>
      <c r="K487" s="104"/>
      <c r="L487" s="63" t="str">
        <f t="shared" ca="1" si="9"/>
        <v/>
      </c>
      <c r="M487" s="104"/>
      <c r="N487" s="105"/>
      <c r="O487" s="104"/>
      <c r="P487" s="102"/>
      <c r="Q487" s="111"/>
      <c r="R487" s="118"/>
      <c r="S487" s="107"/>
      <c r="T487" s="102"/>
      <c r="U487" s="102"/>
      <c r="V487" s="102"/>
      <c r="W487" s="105"/>
      <c r="X487" s="105"/>
      <c r="Y487" s="105"/>
      <c r="Z487" s="105"/>
      <c r="AA487" s="105"/>
      <c r="AB487" s="105"/>
      <c r="AC487" s="109"/>
      <c r="AD487" s="107"/>
      <c r="AE487" s="102"/>
      <c r="AF487" s="109"/>
      <c r="AG487" s="107"/>
      <c r="AH487" s="111"/>
      <c r="AI487" s="111"/>
      <c r="AJ487" s="131" t="str">
        <f t="shared" ca="1" si="10"/>
        <v/>
      </c>
      <c r="AK487" s="102"/>
      <c r="AL487" s="102"/>
      <c r="AM487" s="105"/>
      <c r="AN487" s="105"/>
      <c r="AO487" s="105"/>
      <c r="AP487" s="109"/>
      <c r="AQ487" s="112"/>
      <c r="AR487" s="102"/>
      <c r="AS487" s="102"/>
      <c r="AT487" s="113"/>
      <c r="AU487" s="108"/>
      <c r="AV487" s="107"/>
      <c r="AW487" s="109"/>
      <c r="AX487" s="115">
        <f t="shared" si="11"/>
        <v>1900</v>
      </c>
      <c r="AY487" s="115">
        <f t="shared" si="12"/>
        <v>1900</v>
      </c>
    </row>
    <row r="488" spans="1:51" ht="22.5" customHeight="1">
      <c r="A488" s="102"/>
      <c r="B488" s="102"/>
      <c r="C488" s="102"/>
      <c r="D488" s="102"/>
      <c r="E488" s="102"/>
      <c r="F488" s="102"/>
      <c r="G488" s="102"/>
      <c r="H488" s="102"/>
      <c r="I488" s="102"/>
      <c r="J488" s="102"/>
      <c r="K488" s="104"/>
      <c r="L488" s="63" t="str">
        <f t="shared" ca="1" si="9"/>
        <v/>
      </c>
      <c r="M488" s="104"/>
      <c r="N488" s="105"/>
      <c r="O488" s="104"/>
      <c r="P488" s="102"/>
      <c r="Q488" s="119"/>
      <c r="R488" s="118"/>
      <c r="S488" s="107"/>
      <c r="T488" s="102"/>
      <c r="U488" s="102"/>
      <c r="V488" s="102"/>
      <c r="W488" s="105"/>
      <c r="X488" s="105"/>
      <c r="Y488" s="105"/>
      <c r="Z488" s="105"/>
      <c r="AA488" s="105"/>
      <c r="AB488" s="105"/>
      <c r="AC488" s="109"/>
      <c r="AD488" s="107"/>
      <c r="AE488" s="102"/>
      <c r="AF488" s="109"/>
      <c r="AG488" s="120"/>
      <c r="AH488" s="119"/>
      <c r="AI488" s="111"/>
      <c r="AJ488" s="131" t="str">
        <f t="shared" ca="1" si="10"/>
        <v/>
      </c>
      <c r="AK488" s="102"/>
      <c r="AL488" s="102"/>
      <c r="AM488" s="105"/>
      <c r="AN488" s="105"/>
      <c r="AO488" s="105"/>
      <c r="AP488" s="109"/>
      <c r="AQ488" s="112"/>
      <c r="AR488" s="102"/>
      <c r="AS488" s="102"/>
      <c r="AT488" s="113"/>
      <c r="AU488" s="108"/>
      <c r="AV488" s="107"/>
      <c r="AW488" s="109"/>
      <c r="AX488" s="115">
        <f t="shared" si="11"/>
        <v>1900</v>
      </c>
      <c r="AY488" s="115">
        <f t="shared" si="12"/>
        <v>1900</v>
      </c>
    </row>
    <row r="489" spans="1:51" ht="22.5" customHeight="1">
      <c r="A489" s="102"/>
      <c r="B489" s="102"/>
      <c r="C489" s="102"/>
      <c r="D489" s="102"/>
      <c r="E489" s="102"/>
      <c r="F489" s="102"/>
      <c r="G489" s="102"/>
      <c r="H489" s="102"/>
      <c r="I489" s="102"/>
      <c r="J489" s="102"/>
      <c r="K489" s="104"/>
      <c r="L489" s="63" t="str">
        <f t="shared" ca="1" si="9"/>
        <v/>
      </c>
      <c r="M489" s="104"/>
      <c r="N489" s="105"/>
      <c r="O489" s="104"/>
      <c r="P489" s="102"/>
      <c r="Q489" s="119"/>
      <c r="R489" s="118"/>
      <c r="S489" s="107"/>
      <c r="T489" s="102"/>
      <c r="U489" s="102"/>
      <c r="V489" s="102"/>
      <c r="W489" s="105"/>
      <c r="X489" s="105"/>
      <c r="Y489" s="105"/>
      <c r="Z489" s="105"/>
      <c r="AA489" s="105"/>
      <c r="AB489" s="105"/>
      <c r="AC489" s="109"/>
      <c r="AD489" s="107"/>
      <c r="AE489" s="102"/>
      <c r="AF489" s="109"/>
      <c r="AG489" s="120"/>
      <c r="AH489" s="119"/>
      <c r="AI489" s="111"/>
      <c r="AJ489" s="131" t="str">
        <f t="shared" ca="1" si="10"/>
        <v/>
      </c>
      <c r="AK489" s="102"/>
      <c r="AL489" s="102"/>
      <c r="AM489" s="105"/>
      <c r="AN489" s="105"/>
      <c r="AO489" s="105"/>
      <c r="AP489" s="109"/>
      <c r="AQ489" s="112"/>
      <c r="AR489" s="102"/>
      <c r="AS489" s="102"/>
      <c r="AT489" s="113"/>
      <c r="AU489" s="108"/>
      <c r="AV489" s="107"/>
      <c r="AW489" s="109"/>
      <c r="AX489" s="115">
        <f t="shared" si="11"/>
        <v>1900</v>
      </c>
      <c r="AY489" s="115">
        <f t="shared" si="12"/>
        <v>1900</v>
      </c>
    </row>
    <row r="490" spans="1:51" ht="22.5" customHeight="1">
      <c r="A490" s="102"/>
      <c r="B490" s="102"/>
      <c r="C490" s="102"/>
      <c r="D490" s="102"/>
      <c r="E490" s="102"/>
      <c r="F490" s="102"/>
      <c r="G490" s="102"/>
      <c r="H490" s="102"/>
      <c r="I490" s="102"/>
      <c r="J490" s="102"/>
      <c r="K490" s="104"/>
      <c r="L490" s="63" t="str">
        <f t="shared" ca="1" si="9"/>
        <v/>
      </c>
      <c r="M490" s="104"/>
      <c r="N490" s="105"/>
      <c r="O490" s="104"/>
      <c r="P490" s="102"/>
      <c r="Q490" s="119"/>
      <c r="R490" s="118"/>
      <c r="S490" s="107"/>
      <c r="T490" s="102"/>
      <c r="U490" s="102"/>
      <c r="V490" s="102"/>
      <c r="W490" s="105"/>
      <c r="X490" s="105"/>
      <c r="Y490" s="105"/>
      <c r="Z490" s="105"/>
      <c r="AA490" s="105"/>
      <c r="AB490" s="105"/>
      <c r="AC490" s="109"/>
      <c r="AD490" s="107"/>
      <c r="AE490" s="102"/>
      <c r="AF490" s="109"/>
      <c r="AG490" s="120"/>
      <c r="AH490" s="119"/>
      <c r="AI490" s="111"/>
      <c r="AJ490" s="131" t="str">
        <f t="shared" ca="1" si="10"/>
        <v/>
      </c>
      <c r="AK490" s="102"/>
      <c r="AL490" s="102"/>
      <c r="AM490" s="105"/>
      <c r="AN490" s="105"/>
      <c r="AO490" s="105"/>
      <c r="AP490" s="109"/>
      <c r="AQ490" s="112"/>
      <c r="AR490" s="102"/>
      <c r="AS490" s="102"/>
      <c r="AT490" s="113"/>
      <c r="AU490" s="108"/>
      <c r="AV490" s="107"/>
      <c r="AW490" s="109"/>
      <c r="AX490" s="115">
        <f t="shared" si="11"/>
        <v>1900</v>
      </c>
      <c r="AY490" s="115">
        <f t="shared" si="12"/>
        <v>1900</v>
      </c>
    </row>
    <row r="491" spans="1:51" ht="22.5" customHeight="1">
      <c r="A491" s="102"/>
      <c r="B491" s="102"/>
      <c r="C491" s="102"/>
      <c r="D491" s="102"/>
      <c r="E491" s="102"/>
      <c r="F491" s="102"/>
      <c r="G491" s="102"/>
      <c r="H491" s="102"/>
      <c r="I491" s="102"/>
      <c r="J491" s="102"/>
      <c r="K491" s="104"/>
      <c r="L491" s="63" t="str">
        <f t="shared" ca="1" si="9"/>
        <v/>
      </c>
      <c r="M491" s="104"/>
      <c r="N491" s="105"/>
      <c r="O491" s="104"/>
      <c r="P491" s="102"/>
      <c r="Q491" s="119"/>
      <c r="R491" s="118"/>
      <c r="S491" s="107"/>
      <c r="T491" s="102"/>
      <c r="U491" s="102"/>
      <c r="V491" s="102"/>
      <c r="W491" s="105"/>
      <c r="X491" s="105"/>
      <c r="Y491" s="105"/>
      <c r="Z491" s="105"/>
      <c r="AA491" s="105"/>
      <c r="AB491" s="105"/>
      <c r="AC491" s="109"/>
      <c r="AD491" s="107"/>
      <c r="AE491" s="102"/>
      <c r="AF491" s="109"/>
      <c r="AG491" s="121"/>
      <c r="AH491" s="119"/>
      <c r="AI491" s="111"/>
      <c r="AJ491" s="131" t="str">
        <f t="shared" ca="1" si="10"/>
        <v/>
      </c>
      <c r="AK491" s="102"/>
      <c r="AL491" s="102"/>
      <c r="AM491" s="105"/>
      <c r="AN491" s="105"/>
      <c r="AO491" s="105"/>
      <c r="AP491" s="109"/>
      <c r="AQ491" s="112"/>
      <c r="AR491" s="102"/>
      <c r="AS491" s="102"/>
      <c r="AT491" s="113"/>
      <c r="AU491" s="108"/>
      <c r="AV491" s="107"/>
      <c r="AW491" s="109"/>
      <c r="AX491" s="115">
        <f t="shared" si="11"/>
        <v>1900</v>
      </c>
      <c r="AY491" s="115">
        <f t="shared" si="12"/>
        <v>1900</v>
      </c>
    </row>
    <row r="492" spans="1:51" ht="22.5" customHeight="1">
      <c r="A492" s="102"/>
      <c r="B492" s="102"/>
      <c r="C492" s="102"/>
      <c r="D492" s="102"/>
      <c r="E492" s="102"/>
      <c r="F492" s="102"/>
      <c r="G492" s="102"/>
      <c r="H492" s="102"/>
      <c r="I492" s="102"/>
      <c r="J492" s="102"/>
      <c r="K492" s="104"/>
      <c r="L492" s="63" t="str">
        <f t="shared" ca="1" si="9"/>
        <v/>
      </c>
      <c r="M492" s="104"/>
      <c r="N492" s="105"/>
      <c r="O492" s="104"/>
      <c r="P492" s="102"/>
      <c r="Q492" s="119"/>
      <c r="R492" s="118"/>
      <c r="S492" s="107"/>
      <c r="T492" s="102"/>
      <c r="U492" s="102"/>
      <c r="V492" s="102"/>
      <c r="W492" s="105"/>
      <c r="X492" s="105"/>
      <c r="Y492" s="105"/>
      <c r="Z492" s="105"/>
      <c r="AA492" s="105"/>
      <c r="AB492" s="105"/>
      <c r="AC492" s="109"/>
      <c r="AD492" s="107"/>
      <c r="AE492" s="102"/>
      <c r="AF492" s="109"/>
      <c r="AG492" s="120"/>
      <c r="AH492" s="119"/>
      <c r="AI492" s="111"/>
      <c r="AJ492" s="131" t="str">
        <f t="shared" ca="1" si="10"/>
        <v/>
      </c>
      <c r="AK492" s="102"/>
      <c r="AL492" s="102"/>
      <c r="AM492" s="105"/>
      <c r="AN492" s="105"/>
      <c r="AO492" s="105"/>
      <c r="AP492" s="109"/>
      <c r="AQ492" s="112"/>
      <c r="AR492" s="102"/>
      <c r="AS492" s="102"/>
      <c r="AT492" s="113"/>
      <c r="AU492" s="108"/>
      <c r="AV492" s="107"/>
      <c r="AW492" s="109"/>
      <c r="AX492" s="115">
        <f t="shared" si="11"/>
        <v>1900</v>
      </c>
      <c r="AY492" s="115">
        <f t="shared" si="12"/>
        <v>1900</v>
      </c>
    </row>
    <row r="493" spans="1:51" ht="22.5" customHeight="1">
      <c r="A493" s="102"/>
      <c r="B493" s="102"/>
      <c r="C493" s="102"/>
      <c r="D493" s="102"/>
      <c r="E493" s="102"/>
      <c r="F493" s="102"/>
      <c r="G493" s="102"/>
      <c r="H493" s="102"/>
      <c r="I493" s="102"/>
      <c r="J493" s="102"/>
      <c r="K493" s="104"/>
      <c r="L493" s="63" t="str">
        <f t="shared" ca="1" si="9"/>
        <v/>
      </c>
      <c r="M493" s="104"/>
      <c r="N493" s="105"/>
      <c r="O493" s="104"/>
      <c r="P493" s="102"/>
      <c r="Q493" s="119"/>
      <c r="R493" s="118"/>
      <c r="S493" s="107"/>
      <c r="T493" s="102"/>
      <c r="U493" s="102"/>
      <c r="V493" s="102"/>
      <c r="W493" s="105"/>
      <c r="X493" s="105"/>
      <c r="Y493" s="105"/>
      <c r="Z493" s="105"/>
      <c r="AA493" s="105"/>
      <c r="AB493" s="105"/>
      <c r="AC493" s="109"/>
      <c r="AD493" s="107"/>
      <c r="AE493" s="102"/>
      <c r="AF493" s="109"/>
      <c r="AG493" s="120"/>
      <c r="AH493" s="119"/>
      <c r="AI493" s="111"/>
      <c r="AJ493" s="131" t="str">
        <f t="shared" ca="1" si="10"/>
        <v/>
      </c>
      <c r="AK493" s="102"/>
      <c r="AL493" s="102"/>
      <c r="AM493" s="105"/>
      <c r="AN493" s="105"/>
      <c r="AO493" s="105"/>
      <c r="AP493" s="109"/>
      <c r="AQ493" s="112"/>
      <c r="AR493" s="102"/>
      <c r="AS493" s="102"/>
      <c r="AT493" s="113"/>
      <c r="AU493" s="108"/>
      <c r="AV493" s="107"/>
      <c r="AW493" s="109"/>
      <c r="AX493" s="115">
        <f t="shared" si="11"/>
        <v>1900</v>
      </c>
      <c r="AY493" s="115">
        <f t="shared" si="12"/>
        <v>1900</v>
      </c>
    </row>
    <row r="494" spans="1:51" ht="22.5" customHeight="1">
      <c r="A494" s="102"/>
      <c r="B494" s="102"/>
      <c r="C494" s="102"/>
      <c r="D494" s="102"/>
      <c r="E494" s="102"/>
      <c r="F494" s="102"/>
      <c r="G494" s="102"/>
      <c r="H494" s="102"/>
      <c r="I494" s="102"/>
      <c r="J494" s="102"/>
      <c r="K494" s="104"/>
      <c r="L494" s="63" t="str">
        <f t="shared" ca="1" si="9"/>
        <v/>
      </c>
      <c r="M494" s="104"/>
      <c r="N494" s="105"/>
      <c r="O494" s="104"/>
      <c r="P494" s="102"/>
      <c r="Q494" s="111"/>
      <c r="R494" s="118"/>
      <c r="S494" s="107"/>
      <c r="T494" s="102"/>
      <c r="U494" s="102"/>
      <c r="V494" s="102"/>
      <c r="W494" s="105"/>
      <c r="X494" s="105"/>
      <c r="Y494" s="105"/>
      <c r="Z494" s="105"/>
      <c r="AA494" s="105"/>
      <c r="AB494" s="105"/>
      <c r="AC494" s="109"/>
      <c r="AD494" s="107"/>
      <c r="AE494" s="102"/>
      <c r="AF494" s="109"/>
      <c r="AG494" s="107"/>
      <c r="AH494" s="111"/>
      <c r="AI494" s="111"/>
      <c r="AJ494" s="131" t="str">
        <f t="shared" ca="1" si="10"/>
        <v/>
      </c>
      <c r="AK494" s="102"/>
      <c r="AL494" s="102"/>
      <c r="AM494" s="105"/>
      <c r="AN494" s="105"/>
      <c r="AO494" s="105"/>
      <c r="AP494" s="109"/>
      <c r="AQ494" s="112"/>
      <c r="AR494" s="102"/>
      <c r="AS494" s="102"/>
      <c r="AT494" s="113"/>
      <c r="AU494" s="108"/>
      <c r="AV494" s="107"/>
      <c r="AW494" s="109"/>
      <c r="AX494" s="115">
        <f t="shared" si="11"/>
        <v>1900</v>
      </c>
      <c r="AY494" s="115">
        <f t="shared" si="12"/>
        <v>1900</v>
      </c>
    </row>
    <row r="495" spans="1:51" ht="22.5" customHeight="1">
      <c r="A495" s="102"/>
      <c r="B495" s="102"/>
      <c r="C495" s="102"/>
      <c r="D495" s="102"/>
      <c r="E495" s="102"/>
      <c r="F495" s="102"/>
      <c r="G495" s="102"/>
      <c r="H495" s="102"/>
      <c r="I495" s="102"/>
      <c r="J495" s="102"/>
      <c r="K495" s="104"/>
      <c r="L495" s="63" t="str">
        <f t="shared" ca="1" si="9"/>
        <v/>
      </c>
      <c r="M495" s="104"/>
      <c r="N495" s="105"/>
      <c r="O495" s="104"/>
      <c r="P495" s="102"/>
      <c r="Q495" s="111"/>
      <c r="R495" s="118"/>
      <c r="S495" s="107"/>
      <c r="T495" s="102"/>
      <c r="U495" s="102"/>
      <c r="V495" s="102"/>
      <c r="W495" s="105"/>
      <c r="X495" s="105"/>
      <c r="Y495" s="105"/>
      <c r="Z495" s="105"/>
      <c r="AA495" s="105"/>
      <c r="AB495" s="105"/>
      <c r="AC495" s="109"/>
      <c r="AD495" s="107"/>
      <c r="AE495" s="102"/>
      <c r="AF495" s="109"/>
      <c r="AG495" s="107"/>
      <c r="AH495" s="111"/>
      <c r="AI495" s="111"/>
      <c r="AJ495" s="131" t="str">
        <f t="shared" ca="1" si="10"/>
        <v/>
      </c>
      <c r="AK495" s="102"/>
      <c r="AL495" s="102"/>
      <c r="AM495" s="105"/>
      <c r="AN495" s="105"/>
      <c r="AO495" s="105"/>
      <c r="AP495" s="109"/>
      <c r="AQ495" s="112"/>
      <c r="AR495" s="102"/>
      <c r="AS495" s="102"/>
      <c r="AT495" s="113"/>
      <c r="AU495" s="108"/>
      <c r="AV495" s="107"/>
      <c r="AW495" s="109"/>
      <c r="AX495" s="115">
        <f t="shared" si="11"/>
        <v>1900</v>
      </c>
      <c r="AY495" s="115">
        <f t="shared" si="12"/>
        <v>1900</v>
      </c>
    </row>
    <row r="496" spans="1:51" ht="22.5" customHeight="1">
      <c r="A496" s="102"/>
      <c r="B496" s="102"/>
      <c r="C496" s="102"/>
      <c r="D496" s="102"/>
      <c r="E496" s="102"/>
      <c r="F496" s="102"/>
      <c r="G496" s="102"/>
      <c r="H496" s="102"/>
      <c r="I496" s="102"/>
      <c r="J496" s="102"/>
      <c r="K496" s="104"/>
      <c r="L496" s="63" t="str">
        <f t="shared" ca="1" si="9"/>
        <v/>
      </c>
      <c r="M496" s="104"/>
      <c r="N496" s="105"/>
      <c r="O496" s="104"/>
      <c r="P496" s="102"/>
      <c r="Q496" s="111"/>
      <c r="R496" s="118"/>
      <c r="S496" s="107"/>
      <c r="T496" s="102"/>
      <c r="U496" s="102"/>
      <c r="V496" s="102"/>
      <c r="W496" s="105"/>
      <c r="X496" s="105"/>
      <c r="Y496" s="105"/>
      <c r="Z496" s="105"/>
      <c r="AA496" s="105"/>
      <c r="AB496" s="105"/>
      <c r="AC496" s="109"/>
      <c r="AD496" s="107"/>
      <c r="AE496" s="102"/>
      <c r="AF496" s="109"/>
      <c r="AG496" s="107"/>
      <c r="AH496" s="111"/>
      <c r="AI496" s="111"/>
      <c r="AJ496" s="131" t="str">
        <f t="shared" ca="1" si="10"/>
        <v/>
      </c>
      <c r="AK496" s="102"/>
      <c r="AL496" s="102"/>
      <c r="AM496" s="105"/>
      <c r="AN496" s="105"/>
      <c r="AO496" s="105"/>
      <c r="AP496" s="109"/>
      <c r="AQ496" s="112"/>
      <c r="AR496" s="102"/>
      <c r="AS496" s="102"/>
      <c r="AT496" s="113"/>
      <c r="AU496" s="108"/>
      <c r="AV496" s="107"/>
      <c r="AW496" s="109"/>
      <c r="AX496" s="115">
        <f t="shared" si="11"/>
        <v>1900</v>
      </c>
      <c r="AY496" s="115">
        <f t="shared" si="12"/>
        <v>1900</v>
      </c>
    </row>
    <row r="497" spans="1:51" ht="22.5" customHeight="1">
      <c r="A497" s="102"/>
      <c r="B497" s="102"/>
      <c r="C497" s="102"/>
      <c r="D497" s="102"/>
      <c r="E497" s="102"/>
      <c r="F497" s="102"/>
      <c r="G497" s="102"/>
      <c r="H497" s="102"/>
      <c r="I497" s="102"/>
      <c r="J497" s="102"/>
      <c r="K497" s="104"/>
      <c r="L497" s="63" t="str">
        <f t="shared" ca="1" si="9"/>
        <v/>
      </c>
      <c r="M497" s="104"/>
      <c r="N497" s="105"/>
      <c r="O497" s="104"/>
      <c r="P497" s="102"/>
      <c r="Q497" s="119"/>
      <c r="R497" s="118"/>
      <c r="S497" s="107"/>
      <c r="T497" s="102"/>
      <c r="U497" s="102"/>
      <c r="V497" s="102"/>
      <c r="W497" s="105"/>
      <c r="X497" s="105"/>
      <c r="Y497" s="105"/>
      <c r="Z497" s="105"/>
      <c r="AA497" s="105"/>
      <c r="AB497" s="105"/>
      <c r="AC497" s="109"/>
      <c r="AD497" s="107"/>
      <c r="AE497" s="102"/>
      <c r="AF497" s="109"/>
      <c r="AG497" s="120"/>
      <c r="AH497" s="119"/>
      <c r="AI497" s="111"/>
      <c r="AJ497" s="131" t="str">
        <f t="shared" ca="1" si="10"/>
        <v/>
      </c>
      <c r="AK497" s="102"/>
      <c r="AL497" s="102"/>
      <c r="AM497" s="105"/>
      <c r="AN497" s="105"/>
      <c r="AO497" s="105"/>
      <c r="AP497" s="109"/>
      <c r="AQ497" s="112"/>
      <c r="AR497" s="102"/>
      <c r="AS497" s="102"/>
      <c r="AT497" s="113"/>
      <c r="AU497" s="108"/>
      <c r="AV497" s="107"/>
      <c r="AW497" s="109"/>
      <c r="AX497" s="115">
        <f t="shared" si="11"/>
        <v>1900</v>
      </c>
      <c r="AY497" s="115">
        <f t="shared" si="12"/>
        <v>1900</v>
      </c>
    </row>
    <row r="498" spans="1:51" ht="22.5" customHeight="1">
      <c r="A498" s="102"/>
      <c r="B498" s="102"/>
      <c r="C498" s="102"/>
      <c r="D498" s="102"/>
      <c r="E498" s="102"/>
      <c r="F498" s="102"/>
      <c r="G498" s="102"/>
      <c r="H498" s="102"/>
      <c r="I498" s="102"/>
      <c r="J498" s="102"/>
      <c r="K498" s="104"/>
      <c r="L498" s="63" t="str">
        <f t="shared" ca="1" si="9"/>
        <v/>
      </c>
      <c r="M498" s="104"/>
      <c r="N498" s="105"/>
      <c r="O498" s="104"/>
      <c r="P498" s="102"/>
      <c r="Q498" s="119"/>
      <c r="R498" s="118"/>
      <c r="S498" s="107"/>
      <c r="T498" s="102"/>
      <c r="U498" s="102"/>
      <c r="V498" s="102"/>
      <c r="W498" s="105"/>
      <c r="X498" s="105"/>
      <c r="Y498" s="105"/>
      <c r="Z498" s="105"/>
      <c r="AA498" s="105"/>
      <c r="AB498" s="105"/>
      <c r="AC498" s="109"/>
      <c r="AD498" s="107"/>
      <c r="AE498" s="102"/>
      <c r="AF498" s="109"/>
      <c r="AG498" s="120"/>
      <c r="AH498" s="119"/>
      <c r="AI498" s="111"/>
      <c r="AJ498" s="131" t="str">
        <f t="shared" ca="1" si="10"/>
        <v/>
      </c>
      <c r="AK498" s="102"/>
      <c r="AL498" s="102"/>
      <c r="AM498" s="105"/>
      <c r="AN498" s="105"/>
      <c r="AO498" s="105"/>
      <c r="AP498" s="109"/>
      <c r="AQ498" s="112"/>
      <c r="AR498" s="102"/>
      <c r="AS498" s="102"/>
      <c r="AT498" s="113"/>
      <c r="AU498" s="108"/>
      <c r="AV498" s="107"/>
      <c r="AW498" s="109"/>
      <c r="AX498" s="115">
        <f t="shared" si="11"/>
        <v>1900</v>
      </c>
      <c r="AY498" s="115">
        <f t="shared" si="12"/>
        <v>1900</v>
      </c>
    </row>
    <row r="499" spans="1:51" ht="22.5" customHeight="1">
      <c r="A499" s="102"/>
      <c r="B499" s="102"/>
      <c r="C499" s="102"/>
      <c r="D499" s="102"/>
      <c r="E499" s="102"/>
      <c r="F499" s="102"/>
      <c r="G499" s="102"/>
      <c r="H499" s="102"/>
      <c r="I499" s="102"/>
      <c r="J499" s="102"/>
      <c r="K499" s="104"/>
      <c r="L499" s="63" t="str">
        <f t="shared" ca="1" si="9"/>
        <v/>
      </c>
      <c r="M499" s="104"/>
      <c r="N499" s="105"/>
      <c r="O499" s="104"/>
      <c r="P499" s="102"/>
      <c r="Q499" s="119"/>
      <c r="R499" s="118"/>
      <c r="S499" s="107"/>
      <c r="T499" s="102"/>
      <c r="U499" s="102"/>
      <c r="V499" s="102"/>
      <c r="W499" s="105"/>
      <c r="X499" s="105"/>
      <c r="Y499" s="105"/>
      <c r="Z499" s="105"/>
      <c r="AA499" s="105"/>
      <c r="AB499" s="105"/>
      <c r="AC499" s="109"/>
      <c r="AD499" s="107"/>
      <c r="AE499" s="102"/>
      <c r="AF499" s="109"/>
      <c r="AG499" s="120"/>
      <c r="AH499" s="119"/>
      <c r="AI499" s="111"/>
      <c r="AJ499" s="131" t="str">
        <f t="shared" ca="1" si="10"/>
        <v/>
      </c>
      <c r="AK499" s="102"/>
      <c r="AL499" s="102"/>
      <c r="AM499" s="105"/>
      <c r="AN499" s="105"/>
      <c r="AO499" s="105"/>
      <c r="AP499" s="109"/>
      <c r="AQ499" s="112"/>
      <c r="AR499" s="102"/>
      <c r="AS499" s="102"/>
      <c r="AT499" s="113"/>
      <c r="AU499" s="108"/>
      <c r="AV499" s="107"/>
      <c r="AW499" s="109"/>
      <c r="AX499" s="115">
        <f t="shared" si="11"/>
        <v>1900</v>
      </c>
      <c r="AY499" s="115">
        <f t="shared" si="12"/>
        <v>1900</v>
      </c>
    </row>
    <row r="500" spans="1:51" ht="22.5" customHeight="1">
      <c r="A500" s="102"/>
      <c r="B500" s="102"/>
      <c r="C500" s="102"/>
      <c r="D500" s="102"/>
      <c r="E500" s="102"/>
      <c r="F500" s="102"/>
      <c r="G500" s="102"/>
      <c r="H500" s="102"/>
      <c r="I500" s="102"/>
      <c r="J500" s="102"/>
      <c r="K500" s="104"/>
      <c r="L500" s="63" t="str">
        <f t="shared" ca="1" si="9"/>
        <v/>
      </c>
      <c r="M500" s="104"/>
      <c r="N500" s="105"/>
      <c r="O500" s="104"/>
      <c r="P500" s="102"/>
      <c r="Q500" s="119"/>
      <c r="R500" s="118"/>
      <c r="S500" s="107"/>
      <c r="T500" s="102"/>
      <c r="U500" s="102"/>
      <c r="V500" s="102"/>
      <c r="W500" s="105"/>
      <c r="X500" s="105"/>
      <c r="Y500" s="105"/>
      <c r="Z500" s="105"/>
      <c r="AA500" s="105"/>
      <c r="AB500" s="105"/>
      <c r="AC500" s="109"/>
      <c r="AD500" s="107"/>
      <c r="AE500" s="102"/>
      <c r="AF500" s="109"/>
      <c r="AG500" s="121"/>
      <c r="AH500" s="119"/>
      <c r="AI500" s="111"/>
      <c r="AJ500" s="131" t="str">
        <f t="shared" ca="1" si="10"/>
        <v/>
      </c>
      <c r="AK500" s="102"/>
      <c r="AL500" s="102"/>
      <c r="AM500" s="105"/>
      <c r="AN500" s="105"/>
      <c r="AO500" s="105"/>
      <c r="AP500" s="109"/>
      <c r="AQ500" s="112"/>
      <c r="AR500" s="102"/>
      <c r="AS500" s="102"/>
      <c r="AT500" s="113"/>
      <c r="AU500" s="108"/>
      <c r="AV500" s="107"/>
      <c r="AW500" s="109"/>
      <c r="AX500" s="115">
        <f t="shared" si="11"/>
        <v>1900</v>
      </c>
      <c r="AY500" s="115">
        <f t="shared" si="12"/>
        <v>1900</v>
      </c>
    </row>
    <row r="501" spans="1:51" ht="22.5" customHeight="1">
      <c r="A501" s="102"/>
      <c r="B501" s="102"/>
      <c r="C501" s="102"/>
      <c r="D501" s="102"/>
      <c r="E501" s="102"/>
      <c r="F501" s="102"/>
      <c r="G501" s="102"/>
      <c r="H501" s="102"/>
      <c r="I501" s="102"/>
      <c r="J501" s="102"/>
      <c r="K501" s="104"/>
      <c r="L501" s="63" t="str">
        <f t="shared" ca="1" si="9"/>
        <v/>
      </c>
      <c r="M501" s="104"/>
      <c r="N501" s="105"/>
      <c r="O501" s="104"/>
      <c r="P501" s="102"/>
      <c r="Q501" s="119"/>
      <c r="R501" s="118"/>
      <c r="S501" s="107"/>
      <c r="T501" s="102"/>
      <c r="U501" s="102"/>
      <c r="V501" s="102"/>
      <c r="W501" s="105"/>
      <c r="X501" s="105"/>
      <c r="Y501" s="105"/>
      <c r="Z501" s="105"/>
      <c r="AA501" s="105"/>
      <c r="AB501" s="105"/>
      <c r="AC501" s="109"/>
      <c r="AD501" s="107"/>
      <c r="AE501" s="102"/>
      <c r="AF501" s="109"/>
      <c r="AG501" s="120"/>
      <c r="AH501" s="119"/>
      <c r="AI501" s="111"/>
      <c r="AJ501" s="131" t="str">
        <f t="shared" ca="1" si="10"/>
        <v/>
      </c>
      <c r="AK501" s="102"/>
      <c r="AL501" s="102"/>
      <c r="AM501" s="105"/>
      <c r="AN501" s="105"/>
      <c r="AO501" s="105"/>
      <c r="AP501" s="109"/>
      <c r="AQ501" s="112"/>
      <c r="AR501" s="102"/>
      <c r="AS501" s="102"/>
      <c r="AT501" s="113"/>
      <c r="AU501" s="108"/>
      <c r="AV501" s="107"/>
      <c r="AW501" s="109"/>
      <c r="AX501" s="115">
        <f t="shared" si="11"/>
        <v>1900</v>
      </c>
      <c r="AY501" s="115">
        <f t="shared" si="12"/>
        <v>1900</v>
      </c>
    </row>
    <row r="502" spans="1:51" ht="22.5" customHeight="1">
      <c r="A502" s="102"/>
      <c r="B502" s="102"/>
      <c r="C502" s="102"/>
      <c r="D502" s="102"/>
      <c r="E502" s="102"/>
      <c r="F502" s="102"/>
      <c r="G502" s="102"/>
      <c r="H502" s="102"/>
      <c r="I502" s="102"/>
      <c r="J502" s="102"/>
      <c r="K502" s="104"/>
      <c r="L502" s="63" t="str">
        <f t="shared" ca="1" si="9"/>
        <v/>
      </c>
      <c r="M502" s="104"/>
      <c r="N502" s="105"/>
      <c r="O502" s="104"/>
      <c r="P502" s="102"/>
      <c r="Q502" s="119"/>
      <c r="R502" s="118"/>
      <c r="S502" s="107"/>
      <c r="T502" s="102"/>
      <c r="U502" s="102"/>
      <c r="V502" s="102"/>
      <c r="W502" s="105"/>
      <c r="X502" s="105"/>
      <c r="Y502" s="105"/>
      <c r="Z502" s="105"/>
      <c r="AA502" s="105"/>
      <c r="AB502" s="105"/>
      <c r="AC502" s="109"/>
      <c r="AD502" s="107"/>
      <c r="AE502" s="102"/>
      <c r="AF502" s="109"/>
      <c r="AG502" s="120"/>
      <c r="AH502" s="119"/>
      <c r="AI502" s="111"/>
      <c r="AJ502" s="131" t="str">
        <f t="shared" ca="1" si="10"/>
        <v/>
      </c>
      <c r="AK502" s="102"/>
      <c r="AL502" s="102"/>
      <c r="AM502" s="105"/>
      <c r="AN502" s="105"/>
      <c r="AO502" s="105"/>
      <c r="AP502" s="109"/>
      <c r="AQ502" s="112"/>
      <c r="AR502" s="102"/>
      <c r="AS502" s="102"/>
      <c r="AT502" s="122"/>
      <c r="AU502" s="108"/>
      <c r="AV502" s="107"/>
      <c r="AW502" s="109"/>
      <c r="AX502" s="115">
        <f t="shared" si="11"/>
        <v>1900</v>
      </c>
      <c r="AY502" s="115">
        <f t="shared" si="12"/>
        <v>1900</v>
      </c>
    </row>
    <row r="503" spans="1:51" ht="22.5" customHeight="1">
      <c r="A503" s="102"/>
      <c r="B503" s="102"/>
      <c r="C503" s="102"/>
      <c r="D503" s="102"/>
      <c r="E503" s="102"/>
      <c r="F503" s="102"/>
      <c r="G503" s="102"/>
      <c r="H503" s="102"/>
      <c r="I503" s="102"/>
      <c r="J503" s="102"/>
      <c r="K503" s="104"/>
      <c r="L503" s="63" t="str">
        <f t="shared" ca="1" si="9"/>
        <v/>
      </c>
      <c r="M503" s="104"/>
      <c r="N503" s="105"/>
      <c r="O503" s="104"/>
      <c r="P503" s="102"/>
      <c r="Q503" s="119"/>
      <c r="R503" s="118"/>
      <c r="S503" s="107"/>
      <c r="T503" s="102"/>
      <c r="U503" s="102"/>
      <c r="V503" s="102"/>
      <c r="W503" s="105"/>
      <c r="X503" s="105"/>
      <c r="Y503" s="105"/>
      <c r="Z503" s="105"/>
      <c r="AA503" s="105"/>
      <c r="AB503" s="105"/>
      <c r="AC503" s="109"/>
      <c r="AD503" s="107"/>
      <c r="AE503" s="102"/>
      <c r="AF503" s="109"/>
      <c r="AG503" s="120"/>
      <c r="AH503" s="119"/>
      <c r="AI503" s="111"/>
      <c r="AJ503" s="131" t="str">
        <f t="shared" ca="1" si="10"/>
        <v/>
      </c>
      <c r="AK503" s="102"/>
      <c r="AL503" s="102"/>
      <c r="AM503" s="105"/>
      <c r="AN503" s="105"/>
      <c r="AO503" s="105"/>
      <c r="AP503" s="109"/>
      <c r="AQ503" s="112"/>
      <c r="AR503" s="102"/>
      <c r="AS503" s="102"/>
      <c r="AT503" s="113"/>
      <c r="AU503" s="108"/>
      <c r="AV503" s="107"/>
      <c r="AW503" s="109"/>
      <c r="AX503" s="115">
        <f t="shared" si="11"/>
        <v>1900</v>
      </c>
      <c r="AY503" s="115">
        <f t="shared" si="12"/>
        <v>1900</v>
      </c>
    </row>
    <row r="504" spans="1:51" ht="22.5" customHeight="1">
      <c r="A504" s="102"/>
      <c r="B504" s="102"/>
      <c r="C504" s="102"/>
      <c r="D504" s="102"/>
      <c r="E504" s="102"/>
      <c r="F504" s="102"/>
      <c r="G504" s="102"/>
      <c r="H504" s="102"/>
      <c r="I504" s="102"/>
      <c r="J504" s="102"/>
      <c r="K504" s="104"/>
      <c r="L504" s="63" t="str">
        <f t="shared" ca="1" si="9"/>
        <v/>
      </c>
      <c r="M504" s="104"/>
      <c r="N504" s="105"/>
      <c r="O504" s="104"/>
      <c r="P504" s="102"/>
      <c r="Q504" s="119"/>
      <c r="R504" s="118"/>
      <c r="S504" s="107"/>
      <c r="T504" s="102"/>
      <c r="U504" s="102"/>
      <c r="V504" s="102"/>
      <c r="W504" s="105"/>
      <c r="X504" s="105"/>
      <c r="Y504" s="105"/>
      <c r="Z504" s="105"/>
      <c r="AA504" s="105"/>
      <c r="AB504" s="105"/>
      <c r="AC504" s="109"/>
      <c r="AD504" s="107"/>
      <c r="AE504" s="102"/>
      <c r="AF504" s="109"/>
      <c r="AG504" s="120"/>
      <c r="AH504" s="119"/>
      <c r="AI504" s="111"/>
      <c r="AJ504" s="131" t="str">
        <f t="shared" ca="1" si="10"/>
        <v/>
      </c>
      <c r="AK504" s="102"/>
      <c r="AL504" s="102"/>
      <c r="AM504" s="105"/>
      <c r="AN504" s="105"/>
      <c r="AO504" s="105"/>
      <c r="AP504" s="109"/>
      <c r="AQ504" s="112"/>
      <c r="AR504" s="102"/>
      <c r="AS504" s="102"/>
      <c r="AT504" s="122"/>
      <c r="AU504" s="108"/>
      <c r="AV504" s="107"/>
      <c r="AW504" s="109"/>
      <c r="AX504" s="115">
        <f t="shared" si="11"/>
        <v>1900</v>
      </c>
      <c r="AY504" s="115">
        <f t="shared" si="12"/>
        <v>1900</v>
      </c>
    </row>
    <row r="505" spans="1:51" ht="15.75" customHeight="1">
      <c r="P505" s="123"/>
      <c r="AJ505" s="124"/>
      <c r="AQ505" s="125"/>
      <c r="AR505" s="123"/>
      <c r="AS505" s="125"/>
      <c r="AT505" s="125"/>
      <c r="AU505" s="126"/>
      <c r="AW505" s="127"/>
    </row>
    <row r="506" spans="1:51" ht="15.75" customHeight="1">
      <c r="A506" s="161" t="s">
        <v>267</v>
      </c>
      <c r="B506" s="162"/>
      <c r="C506" s="162"/>
      <c r="D506" s="162"/>
      <c r="E506" s="162"/>
      <c r="F506" s="162"/>
      <c r="G506" s="162"/>
      <c r="H506" s="162"/>
      <c r="I506" s="162"/>
      <c r="J506" s="162"/>
      <c r="K506" s="162"/>
      <c r="L506" s="162"/>
      <c r="M506" s="162"/>
      <c r="N506" s="162"/>
      <c r="O506" s="162"/>
      <c r="P506" s="162"/>
      <c r="Q506" s="162"/>
      <c r="R506" s="162"/>
      <c r="S506" s="162"/>
      <c r="T506" s="162"/>
      <c r="U506" s="162"/>
      <c r="V506" s="162"/>
      <c r="W506" s="162"/>
      <c r="X506" s="162"/>
      <c r="Y506" s="162"/>
      <c r="Z506" s="162"/>
      <c r="AA506" s="162"/>
      <c r="AB506" s="162"/>
      <c r="AC506" s="162"/>
      <c r="AD506" s="162"/>
      <c r="AE506" s="162"/>
      <c r="AF506" s="162"/>
      <c r="AG506" s="162"/>
      <c r="AH506" s="162"/>
      <c r="AI506" s="162"/>
      <c r="AJ506" s="162"/>
      <c r="AK506" s="162"/>
      <c r="AL506" s="162"/>
      <c r="AM506" s="162"/>
      <c r="AN506" s="162"/>
      <c r="AO506" s="162"/>
      <c r="AP506" s="162"/>
      <c r="AQ506" s="162"/>
      <c r="AR506" s="162"/>
      <c r="AS506" s="162"/>
      <c r="AT506" s="162"/>
      <c r="AU506" s="162"/>
      <c r="AV506" s="162"/>
      <c r="AW506" s="162"/>
      <c r="AX506" s="162"/>
      <c r="AY506" s="162"/>
    </row>
    <row r="507" spans="1:51" ht="15.75" customHeight="1">
      <c r="P507" s="123"/>
      <c r="AJ507" s="124"/>
      <c r="AQ507" s="125"/>
      <c r="AR507" s="123"/>
      <c r="AS507" s="125"/>
      <c r="AT507" s="125"/>
      <c r="AU507" s="126"/>
      <c r="AW507" s="127"/>
    </row>
    <row r="508" spans="1:51" ht="15.75" customHeight="1">
      <c r="P508" s="123"/>
      <c r="AJ508" s="124"/>
      <c r="AQ508" s="125"/>
      <c r="AR508" s="123"/>
      <c r="AS508" s="125"/>
      <c r="AT508" s="125"/>
      <c r="AU508" s="126"/>
      <c r="AW508" s="127"/>
    </row>
    <row r="509" spans="1:51" ht="15.75" customHeight="1">
      <c r="P509" s="123"/>
      <c r="AJ509" s="124"/>
      <c r="AQ509" s="125"/>
      <c r="AR509" s="123"/>
      <c r="AS509" s="125"/>
      <c r="AT509" s="125"/>
      <c r="AU509" s="126"/>
      <c r="AW509" s="127"/>
    </row>
    <row r="510" spans="1:51" ht="15.75" customHeight="1">
      <c r="P510" s="123"/>
      <c r="AJ510" s="124"/>
      <c r="AQ510" s="125"/>
      <c r="AR510" s="123"/>
      <c r="AS510" s="125"/>
      <c r="AT510" s="125"/>
      <c r="AU510" s="126"/>
      <c r="AW510" s="127"/>
    </row>
    <row r="511" spans="1:51" ht="15.75" customHeight="1">
      <c r="P511" s="123"/>
      <c r="AJ511" s="124"/>
      <c r="AQ511" s="125"/>
      <c r="AR511" s="123"/>
      <c r="AS511" s="125"/>
      <c r="AT511" s="125"/>
      <c r="AU511" s="126"/>
      <c r="AW511" s="127"/>
    </row>
    <row r="512" spans="1:51" ht="15.75" customHeight="1">
      <c r="P512" s="123"/>
      <c r="AJ512" s="124"/>
      <c r="AQ512" s="125"/>
      <c r="AR512" s="123"/>
      <c r="AS512" s="125"/>
      <c r="AT512" s="125"/>
      <c r="AU512" s="126"/>
      <c r="AW512" s="127"/>
    </row>
    <row r="513" spans="16:49" ht="15.75" customHeight="1">
      <c r="P513" s="123"/>
      <c r="AJ513" s="124"/>
      <c r="AQ513" s="125"/>
      <c r="AR513" s="123"/>
      <c r="AS513" s="125"/>
      <c r="AT513" s="125"/>
      <c r="AU513" s="126"/>
      <c r="AW513" s="127"/>
    </row>
    <row r="514" spans="16:49" ht="15.75" customHeight="1">
      <c r="P514" s="123"/>
      <c r="AJ514" s="124"/>
      <c r="AQ514" s="125"/>
      <c r="AR514" s="123"/>
      <c r="AS514" s="125"/>
      <c r="AT514" s="125"/>
      <c r="AU514" s="126"/>
      <c r="AW514" s="127"/>
    </row>
    <row r="515" spans="16:49" ht="15.75" customHeight="1">
      <c r="P515" s="123"/>
      <c r="AJ515" s="124"/>
      <c r="AQ515" s="125"/>
      <c r="AR515" s="123"/>
      <c r="AS515" s="125"/>
      <c r="AT515" s="125"/>
      <c r="AU515" s="126"/>
      <c r="AW515" s="127"/>
    </row>
    <row r="516" spans="16:49" ht="15.75" customHeight="1">
      <c r="P516" s="123"/>
      <c r="AJ516" s="124"/>
      <c r="AQ516" s="125"/>
      <c r="AR516" s="123"/>
      <c r="AS516" s="125"/>
      <c r="AT516" s="125"/>
      <c r="AU516" s="126"/>
      <c r="AW516" s="127"/>
    </row>
    <row r="517" spans="16:49" ht="15.75" customHeight="1">
      <c r="P517" s="123"/>
      <c r="AJ517" s="124"/>
      <c r="AQ517" s="125"/>
      <c r="AR517" s="123"/>
      <c r="AS517" s="125"/>
      <c r="AT517" s="125"/>
      <c r="AU517" s="126"/>
      <c r="AW517" s="127"/>
    </row>
    <row r="518" spans="16:49" ht="15.75" customHeight="1">
      <c r="P518" s="123"/>
      <c r="AJ518" s="124"/>
      <c r="AQ518" s="125"/>
      <c r="AR518" s="123"/>
      <c r="AS518" s="125"/>
      <c r="AT518" s="125"/>
      <c r="AU518" s="126"/>
      <c r="AW518" s="127"/>
    </row>
    <row r="519" spans="16:49" ht="15.75" customHeight="1">
      <c r="P519" s="123"/>
      <c r="AJ519" s="124"/>
      <c r="AQ519" s="125"/>
      <c r="AR519" s="123"/>
      <c r="AS519" s="125"/>
      <c r="AT519" s="125"/>
      <c r="AU519" s="126"/>
      <c r="AW519" s="127"/>
    </row>
    <row r="520" spans="16:49" ht="15.75" customHeight="1">
      <c r="P520" s="123"/>
      <c r="AJ520" s="124"/>
      <c r="AQ520" s="125"/>
      <c r="AR520" s="123"/>
      <c r="AS520" s="125"/>
      <c r="AT520" s="125"/>
      <c r="AU520" s="126"/>
      <c r="AW520" s="127"/>
    </row>
    <row r="521" spans="16:49" ht="15.75" customHeight="1">
      <c r="P521" s="123"/>
      <c r="AJ521" s="124"/>
      <c r="AQ521" s="125"/>
      <c r="AR521" s="123"/>
      <c r="AS521" s="125"/>
      <c r="AT521" s="125"/>
      <c r="AU521" s="126"/>
      <c r="AW521" s="127"/>
    </row>
    <row r="522" spans="16:49" ht="15.75" customHeight="1">
      <c r="P522" s="123"/>
      <c r="AJ522" s="124"/>
      <c r="AQ522" s="125"/>
      <c r="AR522" s="123"/>
      <c r="AS522" s="125"/>
      <c r="AT522" s="125"/>
      <c r="AU522" s="126"/>
      <c r="AW522" s="127"/>
    </row>
    <row r="523" spans="16:49" ht="15.75" customHeight="1">
      <c r="P523" s="123"/>
      <c r="AJ523" s="124"/>
      <c r="AQ523" s="125"/>
      <c r="AR523" s="123"/>
      <c r="AS523" s="125"/>
      <c r="AT523" s="125"/>
      <c r="AU523" s="126"/>
      <c r="AW523" s="127"/>
    </row>
    <row r="524" spans="16:49" ht="15.75" customHeight="1">
      <c r="P524" s="123"/>
      <c r="AJ524" s="124"/>
      <c r="AQ524" s="125"/>
      <c r="AR524" s="123"/>
      <c r="AS524" s="125"/>
      <c r="AT524" s="125"/>
      <c r="AU524" s="126"/>
      <c r="AW524" s="127"/>
    </row>
    <row r="525" spans="16:49" ht="15.75" customHeight="1">
      <c r="P525" s="123"/>
      <c r="AJ525" s="124"/>
      <c r="AQ525" s="125"/>
      <c r="AR525" s="123"/>
      <c r="AS525" s="125"/>
      <c r="AT525" s="125"/>
      <c r="AU525" s="126"/>
      <c r="AW525" s="127"/>
    </row>
    <row r="526" spans="16:49" ht="15.75" customHeight="1">
      <c r="P526" s="123"/>
      <c r="AJ526" s="124"/>
      <c r="AQ526" s="125"/>
      <c r="AR526" s="123"/>
      <c r="AS526" s="125"/>
      <c r="AT526" s="125"/>
      <c r="AU526" s="126"/>
      <c r="AW526" s="127"/>
    </row>
    <row r="527" spans="16:49" ht="15.75" customHeight="1">
      <c r="P527" s="123"/>
      <c r="AJ527" s="124"/>
      <c r="AQ527" s="125"/>
      <c r="AR527" s="123"/>
      <c r="AS527" s="125"/>
      <c r="AT527" s="125"/>
      <c r="AU527" s="126"/>
      <c r="AW527" s="127"/>
    </row>
    <row r="528" spans="16:49" ht="15.75" customHeight="1">
      <c r="P528" s="123"/>
      <c r="AJ528" s="124"/>
      <c r="AQ528" s="125"/>
      <c r="AR528" s="123"/>
      <c r="AS528" s="125"/>
      <c r="AT528" s="125"/>
      <c r="AU528" s="126"/>
      <c r="AW528" s="127"/>
    </row>
    <row r="529" spans="16:49" ht="15.75" customHeight="1">
      <c r="P529" s="123"/>
      <c r="AJ529" s="124"/>
      <c r="AQ529" s="125"/>
      <c r="AR529" s="123"/>
      <c r="AS529" s="125"/>
      <c r="AT529" s="125"/>
      <c r="AU529" s="126"/>
      <c r="AW529" s="127"/>
    </row>
    <row r="530" spans="16:49" ht="15.75" customHeight="1">
      <c r="P530" s="123"/>
      <c r="AJ530" s="124"/>
      <c r="AQ530" s="125"/>
      <c r="AR530" s="123"/>
      <c r="AS530" s="125"/>
      <c r="AT530" s="125"/>
      <c r="AU530" s="126"/>
      <c r="AW530" s="127"/>
    </row>
    <row r="531" spans="16:49" ht="15.75" customHeight="1">
      <c r="P531" s="123"/>
      <c r="AJ531" s="124"/>
      <c r="AQ531" s="125"/>
      <c r="AR531" s="123"/>
      <c r="AS531" s="125"/>
      <c r="AT531" s="125"/>
      <c r="AU531" s="126"/>
      <c r="AW531" s="127"/>
    </row>
    <row r="532" spans="16:49" ht="15.75" customHeight="1">
      <c r="P532" s="123"/>
      <c r="AJ532" s="124"/>
      <c r="AQ532" s="125"/>
      <c r="AR532" s="123"/>
      <c r="AS532" s="125"/>
      <c r="AT532" s="125"/>
      <c r="AU532" s="126"/>
      <c r="AW532" s="127"/>
    </row>
    <row r="533" spans="16:49" ht="15.75" customHeight="1">
      <c r="P533" s="123"/>
      <c r="AJ533" s="124"/>
      <c r="AQ533" s="125"/>
      <c r="AR533" s="123"/>
      <c r="AS533" s="125"/>
      <c r="AT533" s="125"/>
      <c r="AU533" s="126"/>
      <c r="AW533" s="127"/>
    </row>
    <row r="534" spans="16:49" ht="15.75" customHeight="1">
      <c r="P534" s="123"/>
      <c r="AJ534" s="124"/>
      <c r="AQ534" s="125"/>
      <c r="AR534" s="123"/>
      <c r="AS534" s="125"/>
      <c r="AT534" s="125"/>
      <c r="AU534" s="126"/>
      <c r="AW534" s="127"/>
    </row>
    <row r="535" spans="16:49" ht="15.75" customHeight="1">
      <c r="P535" s="123"/>
      <c r="AJ535" s="124"/>
      <c r="AQ535" s="125"/>
      <c r="AR535" s="123"/>
      <c r="AS535" s="125"/>
      <c r="AT535" s="125"/>
      <c r="AU535" s="126"/>
      <c r="AW535" s="127"/>
    </row>
    <row r="536" spans="16:49" ht="15.75" customHeight="1">
      <c r="P536" s="123"/>
      <c r="AJ536" s="124"/>
      <c r="AQ536" s="125"/>
      <c r="AR536" s="123"/>
      <c r="AS536" s="125"/>
      <c r="AT536" s="125"/>
      <c r="AU536" s="126"/>
      <c r="AW536" s="127"/>
    </row>
    <row r="537" spans="16:49" ht="15.75" customHeight="1">
      <c r="P537" s="123"/>
      <c r="AJ537" s="124"/>
      <c r="AQ537" s="125"/>
      <c r="AR537" s="123"/>
      <c r="AS537" s="125"/>
      <c r="AT537" s="125"/>
      <c r="AU537" s="126"/>
      <c r="AW537" s="127"/>
    </row>
    <row r="538" spans="16:49" ht="15.75" customHeight="1">
      <c r="P538" s="123"/>
      <c r="AJ538" s="124"/>
      <c r="AQ538" s="125"/>
      <c r="AR538" s="123"/>
      <c r="AS538" s="125"/>
      <c r="AT538" s="125"/>
      <c r="AU538" s="126"/>
      <c r="AW538" s="127"/>
    </row>
    <row r="539" spans="16:49" ht="15.75" customHeight="1">
      <c r="P539" s="123"/>
      <c r="AJ539" s="124"/>
      <c r="AQ539" s="125"/>
      <c r="AR539" s="123"/>
      <c r="AS539" s="125"/>
      <c r="AT539" s="125"/>
      <c r="AU539" s="126"/>
      <c r="AW539" s="127"/>
    </row>
    <row r="540" spans="16:49" ht="15.75" customHeight="1">
      <c r="P540" s="123"/>
      <c r="AJ540" s="124"/>
      <c r="AQ540" s="125"/>
      <c r="AR540" s="123"/>
      <c r="AS540" s="125"/>
      <c r="AT540" s="125"/>
      <c r="AU540" s="126"/>
      <c r="AW540" s="127"/>
    </row>
    <row r="541" spans="16:49" ht="15.75" customHeight="1">
      <c r="P541" s="123"/>
      <c r="AJ541" s="124"/>
      <c r="AQ541" s="125"/>
      <c r="AR541" s="123"/>
      <c r="AS541" s="125"/>
      <c r="AT541" s="125"/>
      <c r="AU541" s="126"/>
      <c r="AW541" s="127"/>
    </row>
    <row r="542" spans="16:49" ht="15.75" customHeight="1">
      <c r="P542" s="123"/>
      <c r="AJ542" s="124"/>
      <c r="AQ542" s="125"/>
      <c r="AR542" s="123"/>
      <c r="AS542" s="125"/>
      <c r="AT542" s="125"/>
      <c r="AU542" s="126"/>
      <c r="AW542" s="127"/>
    </row>
    <row r="543" spans="16:49" ht="15.75" customHeight="1">
      <c r="P543" s="123"/>
      <c r="AJ543" s="124"/>
      <c r="AQ543" s="125"/>
      <c r="AR543" s="123"/>
      <c r="AS543" s="125"/>
      <c r="AT543" s="125"/>
      <c r="AU543" s="126"/>
      <c r="AW543" s="127"/>
    </row>
    <row r="544" spans="16:49" ht="15.75" customHeight="1">
      <c r="P544" s="123"/>
      <c r="AJ544" s="124"/>
      <c r="AQ544" s="125"/>
      <c r="AR544" s="123"/>
      <c r="AS544" s="125"/>
      <c r="AT544" s="125"/>
      <c r="AU544" s="126"/>
      <c r="AW544" s="127"/>
    </row>
    <row r="545" spans="16:49" ht="15.75" customHeight="1">
      <c r="P545" s="123"/>
      <c r="AJ545" s="124"/>
      <c r="AQ545" s="125"/>
      <c r="AR545" s="123"/>
      <c r="AS545" s="125"/>
      <c r="AT545" s="125"/>
      <c r="AU545" s="126"/>
      <c r="AW545" s="127"/>
    </row>
    <row r="546" spans="16:49" ht="15.75" customHeight="1">
      <c r="P546" s="123"/>
      <c r="AJ546" s="124"/>
      <c r="AQ546" s="125"/>
      <c r="AR546" s="123"/>
      <c r="AS546" s="125"/>
      <c r="AT546" s="125"/>
      <c r="AU546" s="126"/>
      <c r="AW546" s="127"/>
    </row>
    <row r="547" spans="16:49" ht="15.75" customHeight="1">
      <c r="P547" s="123"/>
      <c r="AJ547" s="124"/>
      <c r="AQ547" s="125"/>
      <c r="AR547" s="123"/>
      <c r="AS547" s="125"/>
      <c r="AT547" s="125"/>
      <c r="AU547" s="126"/>
      <c r="AW547" s="127"/>
    </row>
    <row r="548" spans="16:49" ht="15.75" customHeight="1">
      <c r="P548" s="123"/>
      <c r="AJ548" s="124"/>
      <c r="AQ548" s="125"/>
      <c r="AR548" s="123"/>
      <c r="AS548" s="125"/>
      <c r="AT548" s="125"/>
      <c r="AU548" s="126"/>
      <c r="AW548" s="127"/>
    </row>
    <row r="549" spans="16:49" ht="15.75" customHeight="1">
      <c r="P549" s="123"/>
      <c r="AJ549" s="124"/>
      <c r="AQ549" s="125"/>
      <c r="AR549" s="123"/>
      <c r="AS549" s="125"/>
      <c r="AT549" s="125"/>
      <c r="AU549" s="126"/>
      <c r="AW549" s="127"/>
    </row>
    <row r="550" spans="16:49" ht="15.75" customHeight="1">
      <c r="P550" s="123"/>
      <c r="AJ550" s="124"/>
      <c r="AQ550" s="125"/>
      <c r="AR550" s="123"/>
      <c r="AS550" s="125"/>
      <c r="AT550" s="125"/>
      <c r="AU550" s="126"/>
      <c r="AW550" s="127"/>
    </row>
    <row r="551" spans="16:49" ht="15.75" customHeight="1">
      <c r="P551" s="123"/>
      <c r="AJ551" s="124"/>
      <c r="AQ551" s="125"/>
      <c r="AR551" s="123"/>
      <c r="AS551" s="125"/>
      <c r="AT551" s="125"/>
      <c r="AU551" s="126"/>
      <c r="AW551" s="127"/>
    </row>
    <row r="552" spans="16:49" ht="15.75" customHeight="1">
      <c r="P552" s="123"/>
      <c r="AJ552" s="124"/>
      <c r="AQ552" s="125"/>
      <c r="AR552" s="123"/>
      <c r="AS552" s="125"/>
      <c r="AT552" s="125"/>
      <c r="AU552" s="126"/>
      <c r="AW552" s="127"/>
    </row>
    <row r="553" spans="16:49" ht="15.75" customHeight="1">
      <c r="P553" s="123"/>
      <c r="AJ553" s="124"/>
      <c r="AQ553" s="125"/>
      <c r="AR553" s="123"/>
      <c r="AS553" s="125"/>
      <c r="AT553" s="125"/>
      <c r="AU553" s="126"/>
      <c r="AW553" s="127"/>
    </row>
    <row r="554" spans="16:49" ht="15.75" customHeight="1">
      <c r="P554" s="123"/>
      <c r="AJ554" s="124"/>
      <c r="AQ554" s="125"/>
      <c r="AR554" s="123"/>
      <c r="AS554" s="125"/>
      <c r="AT554" s="125"/>
      <c r="AU554" s="126"/>
      <c r="AW554" s="127"/>
    </row>
    <row r="555" spans="16:49" ht="15.75" customHeight="1">
      <c r="P555" s="123"/>
      <c r="AJ555" s="124"/>
      <c r="AQ555" s="125"/>
      <c r="AR555" s="123"/>
      <c r="AS555" s="125"/>
      <c r="AT555" s="125"/>
      <c r="AU555" s="126"/>
      <c r="AW555" s="127"/>
    </row>
    <row r="556" spans="16:49" ht="15.75" customHeight="1">
      <c r="P556" s="123"/>
      <c r="AJ556" s="124"/>
      <c r="AQ556" s="125"/>
      <c r="AR556" s="123"/>
      <c r="AS556" s="125"/>
      <c r="AT556" s="125"/>
      <c r="AU556" s="126"/>
      <c r="AW556" s="127"/>
    </row>
    <row r="557" spans="16:49" ht="15.75" customHeight="1">
      <c r="P557" s="123"/>
      <c r="AJ557" s="124"/>
      <c r="AQ557" s="125"/>
      <c r="AR557" s="123"/>
      <c r="AS557" s="125"/>
      <c r="AT557" s="125"/>
      <c r="AU557" s="126"/>
      <c r="AW557" s="127"/>
    </row>
    <row r="558" spans="16:49" ht="15.75" customHeight="1">
      <c r="P558" s="123"/>
      <c r="AJ558" s="124"/>
      <c r="AQ558" s="125"/>
      <c r="AR558" s="123"/>
      <c r="AS558" s="125"/>
      <c r="AT558" s="125"/>
      <c r="AU558" s="126"/>
      <c r="AW558" s="127"/>
    </row>
    <row r="559" spans="16:49" ht="15.75" customHeight="1">
      <c r="P559" s="123"/>
      <c r="AJ559" s="124"/>
      <c r="AQ559" s="125"/>
      <c r="AR559" s="123"/>
      <c r="AS559" s="125"/>
      <c r="AT559" s="125"/>
      <c r="AU559" s="126"/>
      <c r="AW559" s="127"/>
    </row>
    <row r="560" spans="16:49" ht="15.75" customHeight="1">
      <c r="P560" s="123"/>
      <c r="AJ560" s="124"/>
      <c r="AQ560" s="125"/>
      <c r="AR560" s="123"/>
      <c r="AS560" s="125"/>
      <c r="AT560" s="125"/>
      <c r="AU560" s="126"/>
      <c r="AW560" s="127"/>
    </row>
    <row r="561" spans="16:49" ht="15.75" customHeight="1">
      <c r="P561" s="123"/>
      <c r="AJ561" s="124"/>
      <c r="AQ561" s="125"/>
      <c r="AR561" s="123"/>
      <c r="AS561" s="125"/>
      <c r="AT561" s="125"/>
      <c r="AU561" s="126"/>
      <c r="AW561" s="127"/>
    </row>
    <row r="562" spans="16:49" ht="15.75" customHeight="1">
      <c r="P562" s="123"/>
      <c r="AJ562" s="124"/>
      <c r="AQ562" s="125"/>
      <c r="AR562" s="123"/>
      <c r="AS562" s="125"/>
      <c r="AT562" s="125"/>
      <c r="AU562" s="126"/>
      <c r="AW562" s="127"/>
    </row>
    <row r="563" spans="16:49" ht="15.75" customHeight="1">
      <c r="P563" s="123"/>
      <c r="AJ563" s="124"/>
      <c r="AQ563" s="125"/>
      <c r="AR563" s="123"/>
      <c r="AS563" s="125"/>
      <c r="AT563" s="125"/>
      <c r="AU563" s="126"/>
      <c r="AW563" s="127"/>
    </row>
    <row r="564" spans="16:49" ht="15.75" customHeight="1">
      <c r="P564" s="123"/>
      <c r="AJ564" s="124"/>
      <c r="AQ564" s="125"/>
      <c r="AR564" s="123"/>
      <c r="AS564" s="125"/>
      <c r="AT564" s="125"/>
      <c r="AU564" s="126"/>
      <c r="AW564" s="127"/>
    </row>
    <row r="565" spans="16:49" ht="15.75" customHeight="1">
      <c r="P565" s="123"/>
      <c r="AJ565" s="124"/>
      <c r="AQ565" s="125"/>
      <c r="AR565" s="123"/>
      <c r="AS565" s="125"/>
      <c r="AT565" s="125"/>
      <c r="AU565" s="126"/>
      <c r="AW565" s="127"/>
    </row>
    <row r="566" spans="16:49" ht="15.75" customHeight="1">
      <c r="P566" s="123"/>
      <c r="AJ566" s="124"/>
      <c r="AQ566" s="125"/>
      <c r="AR566" s="123"/>
      <c r="AS566" s="125"/>
      <c r="AT566" s="125"/>
      <c r="AU566" s="126"/>
      <c r="AW566" s="127"/>
    </row>
    <row r="567" spans="16:49" ht="15.75" customHeight="1">
      <c r="P567" s="123"/>
      <c r="AJ567" s="124"/>
      <c r="AQ567" s="125"/>
      <c r="AR567" s="123"/>
      <c r="AS567" s="125"/>
      <c r="AT567" s="125"/>
      <c r="AU567" s="126"/>
      <c r="AW567" s="127"/>
    </row>
    <row r="568" spans="16:49" ht="15.75" customHeight="1">
      <c r="P568" s="123"/>
      <c r="AJ568" s="124"/>
      <c r="AQ568" s="125"/>
      <c r="AR568" s="123"/>
      <c r="AS568" s="125"/>
      <c r="AT568" s="125"/>
      <c r="AU568" s="126"/>
      <c r="AW568" s="127"/>
    </row>
    <row r="569" spans="16:49" ht="15.75" customHeight="1">
      <c r="P569" s="123"/>
      <c r="AJ569" s="124"/>
      <c r="AQ569" s="125"/>
      <c r="AR569" s="123"/>
      <c r="AS569" s="125"/>
      <c r="AT569" s="125"/>
      <c r="AU569" s="126"/>
      <c r="AW569" s="127"/>
    </row>
    <row r="570" spans="16:49" ht="15.75" customHeight="1">
      <c r="P570" s="123"/>
      <c r="AJ570" s="124"/>
      <c r="AQ570" s="125"/>
      <c r="AR570" s="123"/>
      <c r="AS570" s="125"/>
      <c r="AT570" s="125"/>
      <c r="AU570" s="126"/>
      <c r="AW570" s="127"/>
    </row>
    <row r="571" spans="16:49" ht="15.75" customHeight="1">
      <c r="P571" s="123"/>
      <c r="AJ571" s="124"/>
      <c r="AQ571" s="125"/>
      <c r="AR571" s="123"/>
      <c r="AS571" s="125"/>
      <c r="AT571" s="125"/>
      <c r="AU571" s="126"/>
      <c r="AW571" s="127"/>
    </row>
    <row r="572" spans="16:49" ht="15.75" customHeight="1">
      <c r="P572" s="123"/>
      <c r="AJ572" s="124"/>
      <c r="AQ572" s="125"/>
      <c r="AR572" s="123"/>
      <c r="AS572" s="125"/>
      <c r="AT572" s="125"/>
      <c r="AU572" s="126"/>
      <c r="AW572" s="127"/>
    </row>
    <row r="573" spans="16:49" ht="15.75" customHeight="1">
      <c r="P573" s="123"/>
      <c r="AJ573" s="124"/>
      <c r="AQ573" s="125"/>
      <c r="AR573" s="123"/>
      <c r="AS573" s="125"/>
      <c r="AT573" s="125"/>
      <c r="AU573" s="126"/>
      <c r="AW573" s="127"/>
    </row>
    <row r="574" spans="16:49" ht="15.75" customHeight="1">
      <c r="P574" s="123"/>
      <c r="AJ574" s="124"/>
      <c r="AQ574" s="125"/>
      <c r="AR574" s="123"/>
      <c r="AS574" s="125"/>
      <c r="AT574" s="125"/>
      <c r="AU574" s="126"/>
      <c r="AW574" s="127"/>
    </row>
    <row r="575" spans="16:49" ht="15.75" customHeight="1">
      <c r="P575" s="123"/>
      <c r="AJ575" s="124"/>
      <c r="AQ575" s="125"/>
      <c r="AR575" s="123"/>
      <c r="AS575" s="125"/>
      <c r="AT575" s="125"/>
      <c r="AU575" s="126"/>
      <c r="AW575" s="127"/>
    </row>
    <row r="576" spans="16:49" ht="15.75" customHeight="1">
      <c r="P576" s="123"/>
      <c r="AJ576" s="124"/>
      <c r="AQ576" s="125"/>
      <c r="AR576" s="123"/>
      <c r="AS576" s="125"/>
      <c r="AT576" s="125"/>
      <c r="AU576" s="126"/>
      <c r="AW576" s="127"/>
    </row>
    <row r="577" spans="16:49" ht="15.75" customHeight="1">
      <c r="P577" s="123"/>
      <c r="AJ577" s="124"/>
      <c r="AQ577" s="125"/>
      <c r="AR577" s="123"/>
      <c r="AS577" s="125"/>
      <c r="AT577" s="125"/>
      <c r="AU577" s="126"/>
      <c r="AW577" s="127"/>
    </row>
    <row r="578" spans="16:49" ht="15.75" customHeight="1">
      <c r="P578" s="123"/>
      <c r="AJ578" s="124"/>
      <c r="AQ578" s="125"/>
      <c r="AR578" s="123"/>
      <c r="AS578" s="125"/>
      <c r="AT578" s="125"/>
      <c r="AU578" s="126"/>
      <c r="AW578" s="127"/>
    </row>
    <row r="579" spans="16:49" ht="15.75" customHeight="1">
      <c r="P579" s="123"/>
      <c r="AJ579" s="124"/>
      <c r="AQ579" s="125"/>
      <c r="AR579" s="123"/>
      <c r="AS579" s="125"/>
      <c r="AT579" s="125"/>
      <c r="AU579" s="126"/>
      <c r="AW579" s="127"/>
    </row>
    <row r="580" spans="16:49" ht="15.75" customHeight="1">
      <c r="P580" s="123"/>
      <c r="AJ580" s="124"/>
      <c r="AQ580" s="125"/>
      <c r="AR580" s="123"/>
      <c r="AS580" s="125"/>
      <c r="AT580" s="125"/>
      <c r="AU580" s="126"/>
      <c r="AW580" s="127"/>
    </row>
    <row r="581" spans="16:49" ht="15.75" customHeight="1">
      <c r="P581" s="123"/>
      <c r="AJ581" s="124"/>
      <c r="AQ581" s="125"/>
      <c r="AR581" s="123"/>
      <c r="AS581" s="125"/>
      <c r="AT581" s="125"/>
      <c r="AU581" s="126"/>
      <c r="AW581" s="127"/>
    </row>
    <row r="582" spans="16:49" ht="15.75" customHeight="1">
      <c r="P582" s="123"/>
      <c r="AJ582" s="124"/>
      <c r="AQ582" s="125"/>
      <c r="AR582" s="123"/>
      <c r="AS582" s="125"/>
      <c r="AT582" s="125"/>
      <c r="AU582" s="126"/>
      <c r="AW582" s="127"/>
    </row>
    <row r="583" spans="16:49" ht="15.75" customHeight="1">
      <c r="P583" s="123"/>
      <c r="AJ583" s="124"/>
      <c r="AQ583" s="125"/>
      <c r="AR583" s="123"/>
      <c r="AS583" s="125"/>
      <c r="AT583" s="125"/>
      <c r="AU583" s="126"/>
      <c r="AW583" s="127"/>
    </row>
    <row r="584" spans="16:49" ht="15.75" customHeight="1">
      <c r="P584" s="123"/>
      <c r="AJ584" s="124"/>
      <c r="AQ584" s="125"/>
      <c r="AR584" s="123"/>
      <c r="AS584" s="125"/>
      <c r="AT584" s="125"/>
      <c r="AU584" s="126"/>
      <c r="AW584" s="127"/>
    </row>
    <row r="585" spans="16:49" ht="15.75" customHeight="1">
      <c r="P585" s="123"/>
      <c r="AJ585" s="124"/>
      <c r="AQ585" s="125"/>
      <c r="AR585" s="123"/>
      <c r="AS585" s="125"/>
      <c r="AT585" s="125"/>
      <c r="AU585" s="126"/>
      <c r="AW585" s="127"/>
    </row>
    <row r="586" spans="16:49" ht="15.75" customHeight="1">
      <c r="P586" s="123"/>
      <c r="AJ586" s="124"/>
      <c r="AQ586" s="125"/>
      <c r="AR586" s="123"/>
      <c r="AS586" s="125"/>
      <c r="AT586" s="125"/>
      <c r="AU586" s="126"/>
      <c r="AW586" s="127"/>
    </row>
    <row r="587" spans="16:49" ht="15.75" customHeight="1">
      <c r="P587" s="123"/>
      <c r="AJ587" s="124"/>
      <c r="AQ587" s="125"/>
      <c r="AR587" s="123"/>
      <c r="AS587" s="125"/>
      <c r="AT587" s="125"/>
      <c r="AU587" s="126"/>
      <c r="AW587" s="127"/>
    </row>
    <row r="588" spans="16:49" ht="15.75" customHeight="1">
      <c r="P588" s="123"/>
      <c r="AJ588" s="124"/>
      <c r="AQ588" s="125"/>
      <c r="AR588" s="123"/>
      <c r="AS588" s="125"/>
      <c r="AT588" s="125"/>
      <c r="AU588" s="126"/>
      <c r="AW588" s="127"/>
    </row>
    <row r="589" spans="16:49" ht="15.75" customHeight="1">
      <c r="P589" s="123"/>
      <c r="AJ589" s="124"/>
      <c r="AQ589" s="125"/>
      <c r="AR589" s="123"/>
      <c r="AS589" s="125"/>
      <c r="AT589" s="125"/>
      <c r="AU589" s="126"/>
      <c r="AW589" s="127"/>
    </row>
    <row r="590" spans="16:49" ht="15.75" customHeight="1">
      <c r="P590" s="123"/>
      <c r="AJ590" s="124"/>
      <c r="AQ590" s="125"/>
      <c r="AR590" s="123"/>
      <c r="AS590" s="125"/>
      <c r="AT590" s="125"/>
      <c r="AU590" s="126"/>
      <c r="AW590" s="127"/>
    </row>
    <row r="591" spans="16:49" ht="15.75" customHeight="1">
      <c r="P591" s="123"/>
      <c r="AJ591" s="124"/>
      <c r="AQ591" s="125"/>
      <c r="AR591" s="123"/>
      <c r="AS591" s="125"/>
      <c r="AT591" s="125"/>
      <c r="AU591" s="126"/>
      <c r="AW591" s="127"/>
    </row>
    <row r="592" spans="16:49" ht="15.75" customHeight="1">
      <c r="P592" s="123"/>
      <c r="AJ592" s="124"/>
      <c r="AQ592" s="125"/>
      <c r="AR592" s="123"/>
      <c r="AS592" s="125"/>
      <c r="AT592" s="125"/>
      <c r="AU592" s="126"/>
      <c r="AW592" s="127"/>
    </row>
    <row r="593" spans="16:49" ht="15.75" customHeight="1">
      <c r="P593" s="123"/>
      <c r="AJ593" s="124"/>
      <c r="AQ593" s="125"/>
      <c r="AR593" s="123"/>
      <c r="AS593" s="125"/>
      <c r="AT593" s="125"/>
      <c r="AU593" s="126"/>
      <c r="AW593" s="127"/>
    </row>
    <row r="594" spans="16:49" ht="15.75" customHeight="1">
      <c r="P594" s="123"/>
      <c r="AJ594" s="124"/>
      <c r="AQ594" s="125"/>
      <c r="AR594" s="123"/>
      <c r="AS594" s="125"/>
      <c r="AT594" s="125"/>
      <c r="AU594" s="126"/>
      <c r="AW594" s="127"/>
    </row>
    <row r="595" spans="16:49" ht="15.75" customHeight="1">
      <c r="P595" s="123"/>
      <c r="AJ595" s="124"/>
      <c r="AQ595" s="125"/>
      <c r="AR595" s="123"/>
      <c r="AS595" s="125"/>
      <c r="AT595" s="125"/>
      <c r="AU595" s="126"/>
      <c r="AW595" s="127"/>
    </row>
    <row r="596" spans="16:49" ht="15.75" customHeight="1">
      <c r="P596" s="123"/>
      <c r="AJ596" s="124"/>
      <c r="AQ596" s="125"/>
      <c r="AR596" s="123"/>
      <c r="AS596" s="125"/>
      <c r="AT596" s="125"/>
      <c r="AU596" s="126"/>
      <c r="AW596" s="127"/>
    </row>
    <row r="597" spans="16:49" ht="15.75" customHeight="1">
      <c r="P597" s="123"/>
      <c r="AJ597" s="124"/>
      <c r="AQ597" s="125"/>
      <c r="AR597" s="123"/>
      <c r="AS597" s="125"/>
      <c r="AT597" s="125"/>
      <c r="AU597" s="126"/>
      <c r="AW597" s="127"/>
    </row>
    <row r="598" spans="16:49" ht="15.75" customHeight="1">
      <c r="P598" s="123"/>
      <c r="AJ598" s="124"/>
      <c r="AQ598" s="125"/>
      <c r="AR598" s="123"/>
      <c r="AS598" s="125"/>
      <c r="AT598" s="125"/>
      <c r="AU598" s="126"/>
      <c r="AW598" s="127"/>
    </row>
    <row r="599" spans="16:49" ht="15.75" customHeight="1">
      <c r="P599" s="123"/>
      <c r="AJ599" s="124"/>
      <c r="AQ599" s="125"/>
      <c r="AR599" s="123"/>
      <c r="AS599" s="125"/>
      <c r="AT599" s="125"/>
      <c r="AU599" s="126"/>
      <c r="AW599" s="127"/>
    </row>
    <row r="600" spans="16:49" ht="15.75" customHeight="1">
      <c r="P600" s="123"/>
      <c r="AJ600" s="124"/>
      <c r="AQ600" s="125"/>
      <c r="AR600" s="123"/>
      <c r="AS600" s="125"/>
      <c r="AT600" s="125"/>
      <c r="AU600" s="126"/>
      <c r="AW600" s="127"/>
    </row>
    <row r="601" spans="16:49" ht="15.75" customHeight="1">
      <c r="P601" s="123"/>
      <c r="AJ601" s="124"/>
      <c r="AQ601" s="125"/>
      <c r="AR601" s="123"/>
      <c r="AS601" s="125"/>
      <c r="AT601" s="125"/>
      <c r="AU601" s="126"/>
      <c r="AW601" s="127"/>
    </row>
    <row r="602" spans="16:49" ht="15.75" customHeight="1">
      <c r="P602" s="123"/>
      <c r="AJ602" s="124"/>
      <c r="AQ602" s="125"/>
      <c r="AR602" s="123"/>
      <c r="AS602" s="125"/>
      <c r="AT602" s="125"/>
      <c r="AU602" s="126"/>
      <c r="AW602" s="127"/>
    </row>
    <row r="603" spans="16:49" ht="15.75" customHeight="1">
      <c r="P603" s="123"/>
      <c r="AJ603" s="124"/>
      <c r="AQ603" s="125"/>
      <c r="AR603" s="123"/>
      <c r="AS603" s="125"/>
      <c r="AT603" s="125"/>
      <c r="AU603" s="126"/>
      <c r="AW603" s="127"/>
    </row>
    <row r="604" spans="16:49" ht="15.75" customHeight="1">
      <c r="P604" s="123"/>
      <c r="AJ604" s="124"/>
      <c r="AQ604" s="125"/>
      <c r="AR604" s="123"/>
      <c r="AS604" s="125"/>
      <c r="AT604" s="125"/>
      <c r="AU604" s="126"/>
      <c r="AW604" s="127"/>
    </row>
    <row r="605" spans="16:49" ht="15.75" customHeight="1">
      <c r="P605" s="123"/>
      <c r="AJ605" s="124"/>
      <c r="AQ605" s="125"/>
      <c r="AR605" s="123"/>
      <c r="AS605" s="125"/>
      <c r="AT605" s="125"/>
      <c r="AU605" s="126"/>
      <c r="AW605" s="127"/>
    </row>
    <row r="606" spans="16:49" ht="15.75" customHeight="1">
      <c r="P606" s="123"/>
      <c r="AJ606" s="124"/>
      <c r="AQ606" s="125"/>
      <c r="AR606" s="123"/>
      <c r="AS606" s="125"/>
      <c r="AT606" s="125"/>
      <c r="AU606" s="126"/>
      <c r="AW606" s="127"/>
    </row>
    <row r="607" spans="16:49" ht="15.75" customHeight="1">
      <c r="P607" s="123"/>
      <c r="AJ607" s="124"/>
      <c r="AQ607" s="125"/>
      <c r="AR607" s="123"/>
      <c r="AS607" s="125"/>
      <c r="AT607" s="125"/>
      <c r="AU607" s="126"/>
      <c r="AW607" s="127"/>
    </row>
    <row r="608" spans="16:49" ht="15.75" customHeight="1">
      <c r="P608" s="123"/>
      <c r="AJ608" s="124"/>
      <c r="AQ608" s="125"/>
      <c r="AR608" s="123"/>
      <c r="AS608" s="125"/>
      <c r="AT608" s="125"/>
      <c r="AU608" s="126"/>
      <c r="AW608" s="127"/>
    </row>
    <row r="609" spans="16:49" ht="15.75" customHeight="1">
      <c r="P609" s="123"/>
      <c r="AJ609" s="124"/>
      <c r="AQ609" s="125"/>
      <c r="AR609" s="123"/>
      <c r="AS609" s="125"/>
      <c r="AT609" s="125"/>
      <c r="AU609" s="126"/>
      <c r="AW609" s="127"/>
    </row>
    <row r="610" spans="16:49" ht="15.75" customHeight="1">
      <c r="P610" s="123"/>
      <c r="AJ610" s="124"/>
      <c r="AQ610" s="125"/>
      <c r="AR610" s="123"/>
      <c r="AS610" s="125"/>
      <c r="AT610" s="125"/>
      <c r="AU610" s="126"/>
      <c r="AW610" s="127"/>
    </row>
    <row r="611" spans="16:49" ht="15.75" customHeight="1">
      <c r="P611" s="123"/>
      <c r="AJ611" s="124"/>
      <c r="AQ611" s="125"/>
      <c r="AR611" s="123"/>
      <c r="AS611" s="125"/>
      <c r="AT611" s="125"/>
      <c r="AU611" s="126"/>
      <c r="AW611" s="127"/>
    </row>
    <row r="612" spans="16:49" ht="15.75" customHeight="1">
      <c r="P612" s="123"/>
      <c r="AJ612" s="124"/>
      <c r="AQ612" s="125"/>
      <c r="AR612" s="123"/>
      <c r="AS612" s="125"/>
      <c r="AT612" s="125"/>
      <c r="AU612" s="126"/>
      <c r="AW612" s="127"/>
    </row>
    <row r="613" spans="16:49" ht="15.75" customHeight="1">
      <c r="P613" s="123"/>
      <c r="AJ613" s="124"/>
      <c r="AQ613" s="125"/>
      <c r="AR613" s="123"/>
      <c r="AS613" s="125"/>
      <c r="AT613" s="125"/>
      <c r="AU613" s="126"/>
      <c r="AW613" s="127"/>
    </row>
    <row r="614" spans="16:49" ht="15.75" customHeight="1">
      <c r="P614" s="123"/>
      <c r="AJ614" s="124"/>
      <c r="AQ614" s="125"/>
      <c r="AR614" s="123"/>
      <c r="AS614" s="125"/>
      <c r="AT614" s="125"/>
      <c r="AU614" s="126"/>
      <c r="AW614" s="127"/>
    </row>
    <row r="615" spans="16:49" ht="15.75" customHeight="1">
      <c r="P615" s="123"/>
      <c r="AJ615" s="124"/>
      <c r="AQ615" s="125"/>
      <c r="AR615" s="123"/>
      <c r="AS615" s="125"/>
      <c r="AT615" s="125"/>
      <c r="AU615" s="126"/>
      <c r="AW615" s="127"/>
    </row>
    <row r="616" spans="16:49" ht="15.75" customHeight="1">
      <c r="P616" s="123"/>
      <c r="AJ616" s="124"/>
      <c r="AQ616" s="125"/>
      <c r="AR616" s="123"/>
      <c r="AS616" s="125"/>
      <c r="AT616" s="125"/>
      <c r="AU616" s="126"/>
      <c r="AW616" s="127"/>
    </row>
    <row r="617" spans="16:49" ht="15.75" customHeight="1">
      <c r="P617" s="123"/>
      <c r="AJ617" s="124"/>
      <c r="AQ617" s="125"/>
      <c r="AR617" s="123"/>
      <c r="AS617" s="125"/>
      <c r="AT617" s="125"/>
      <c r="AU617" s="126"/>
      <c r="AW617" s="127"/>
    </row>
    <row r="618" spans="16:49" ht="15.75" customHeight="1">
      <c r="P618" s="123"/>
      <c r="AJ618" s="124"/>
      <c r="AQ618" s="125"/>
      <c r="AR618" s="123"/>
      <c r="AS618" s="125"/>
      <c r="AT618" s="125"/>
      <c r="AU618" s="126"/>
      <c r="AW618" s="127"/>
    </row>
    <row r="619" spans="16:49" ht="15.75" customHeight="1">
      <c r="P619" s="123"/>
      <c r="AJ619" s="124"/>
      <c r="AQ619" s="125"/>
      <c r="AR619" s="123"/>
      <c r="AS619" s="125"/>
      <c r="AT619" s="125"/>
      <c r="AU619" s="126"/>
      <c r="AW619" s="127"/>
    </row>
    <row r="620" spans="16:49" ht="15.75" customHeight="1">
      <c r="P620" s="123"/>
      <c r="AJ620" s="124"/>
      <c r="AQ620" s="125"/>
      <c r="AR620" s="123"/>
      <c r="AS620" s="125"/>
      <c r="AT620" s="125"/>
      <c r="AU620" s="126"/>
      <c r="AW620" s="127"/>
    </row>
    <row r="621" spans="16:49" ht="15.75" customHeight="1">
      <c r="P621" s="123"/>
      <c r="AJ621" s="124"/>
      <c r="AQ621" s="125"/>
      <c r="AR621" s="123"/>
      <c r="AS621" s="125"/>
      <c r="AT621" s="125"/>
      <c r="AU621" s="126"/>
      <c r="AW621" s="127"/>
    </row>
    <row r="622" spans="16:49" ht="15.75" customHeight="1">
      <c r="P622" s="123"/>
      <c r="AJ622" s="124"/>
      <c r="AQ622" s="125"/>
      <c r="AR622" s="123"/>
      <c r="AS622" s="125"/>
      <c r="AT622" s="125"/>
      <c r="AU622" s="126"/>
      <c r="AW622" s="127"/>
    </row>
    <row r="623" spans="16:49" ht="15.75" customHeight="1">
      <c r="P623" s="123"/>
      <c r="AJ623" s="124"/>
      <c r="AQ623" s="125"/>
      <c r="AR623" s="123"/>
      <c r="AS623" s="125"/>
      <c r="AT623" s="125"/>
      <c r="AU623" s="126"/>
      <c r="AW623" s="127"/>
    </row>
    <row r="624" spans="16:49" ht="15.75" customHeight="1">
      <c r="P624" s="123"/>
      <c r="AJ624" s="124"/>
      <c r="AQ624" s="125"/>
      <c r="AR624" s="123"/>
      <c r="AS624" s="125"/>
      <c r="AT624" s="125"/>
      <c r="AU624" s="126"/>
      <c r="AW624" s="127"/>
    </row>
    <row r="625" spans="16:49" ht="15.75" customHeight="1">
      <c r="P625" s="123"/>
      <c r="AJ625" s="124"/>
      <c r="AQ625" s="125"/>
      <c r="AR625" s="123"/>
      <c r="AS625" s="125"/>
      <c r="AT625" s="125"/>
      <c r="AU625" s="126"/>
      <c r="AW625" s="127"/>
    </row>
    <row r="626" spans="16:49" ht="15.75" customHeight="1">
      <c r="P626" s="123"/>
      <c r="AJ626" s="124"/>
      <c r="AQ626" s="125"/>
      <c r="AR626" s="123"/>
      <c r="AS626" s="125"/>
      <c r="AT626" s="125"/>
      <c r="AU626" s="126"/>
      <c r="AW626" s="127"/>
    </row>
    <row r="627" spans="16:49" ht="15.75" customHeight="1">
      <c r="P627" s="123"/>
      <c r="AJ627" s="124"/>
      <c r="AQ627" s="125"/>
      <c r="AR627" s="123"/>
      <c r="AS627" s="125"/>
      <c r="AT627" s="125"/>
      <c r="AU627" s="126"/>
      <c r="AW627" s="127"/>
    </row>
    <row r="628" spans="16:49" ht="15.75" customHeight="1">
      <c r="P628" s="123"/>
      <c r="AJ628" s="124"/>
      <c r="AQ628" s="125"/>
      <c r="AR628" s="123"/>
      <c r="AS628" s="125"/>
      <c r="AT628" s="125"/>
      <c r="AU628" s="126"/>
      <c r="AW628" s="127"/>
    </row>
    <row r="629" spans="16:49" ht="15.75" customHeight="1">
      <c r="P629" s="123"/>
      <c r="AJ629" s="124"/>
      <c r="AQ629" s="125"/>
      <c r="AR629" s="123"/>
      <c r="AS629" s="125"/>
      <c r="AT629" s="125"/>
      <c r="AU629" s="126"/>
      <c r="AW629" s="127"/>
    </row>
    <row r="630" spans="16:49" ht="15.75" customHeight="1">
      <c r="P630" s="123"/>
      <c r="AJ630" s="124"/>
      <c r="AQ630" s="125"/>
      <c r="AR630" s="123"/>
      <c r="AS630" s="125"/>
      <c r="AT630" s="125"/>
      <c r="AU630" s="126"/>
      <c r="AW630" s="127"/>
    </row>
    <row r="631" spans="16:49" ht="15.75" customHeight="1">
      <c r="P631" s="123"/>
      <c r="AJ631" s="124"/>
      <c r="AQ631" s="125"/>
      <c r="AR631" s="123"/>
      <c r="AS631" s="125"/>
      <c r="AT631" s="125"/>
      <c r="AU631" s="126"/>
      <c r="AW631" s="127"/>
    </row>
    <row r="632" spans="16:49" ht="15.75" customHeight="1">
      <c r="P632" s="123"/>
      <c r="AJ632" s="124"/>
      <c r="AQ632" s="125"/>
      <c r="AR632" s="123"/>
      <c r="AS632" s="125"/>
      <c r="AT632" s="125"/>
      <c r="AU632" s="126"/>
      <c r="AW632" s="127"/>
    </row>
    <row r="633" spans="16:49" ht="15.75" customHeight="1">
      <c r="P633" s="123"/>
      <c r="AJ633" s="124"/>
      <c r="AQ633" s="125"/>
      <c r="AR633" s="123"/>
      <c r="AS633" s="125"/>
      <c r="AT633" s="125"/>
      <c r="AU633" s="126"/>
      <c r="AW633" s="127"/>
    </row>
    <row r="634" spans="16:49" ht="15.75" customHeight="1">
      <c r="P634" s="123"/>
      <c r="AJ634" s="124"/>
      <c r="AQ634" s="125"/>
      <c r="AR634" s="123"/>
      <c r="AS634" s="125"/>
      <c r="AT634" s="125"/>
      <c r="AU634" s="126"/>
      <c r="AW634" s="127"/>
    </row>
    <row r="635" spans="16:49" ht="15.75" customHeight="1">
      <c r="P635" s="123"/>
      <c r="AJ635" s="124"/>
      <c r="AQ635" s="125"/>
      <c r="AR635" s="123"/>
      <c r="AS635" s="125"/>
      <c r="AT635" s="125"/>
      <c r="AU635" s="126"/>
      <c r="AW635" s="127"/>
    </row>
    <row r="636" spans="16:49" ht="15.75" customHeight="1">
      <c r="P636" s="123"/>
      <c r="AJ636" s="124"/>
      <c r="AQ636" s="125"/>
      <c r="AR636" s="123"/>
      <c r="AS636" s="125"/>
      <c r="AT636" s="125"/>
      <c r="AU636" s="126"/>
      <c r="AW636" s="127"/>
    </row>
    <row r="637" spans="16:49" ht="15.75" customHeight="1">
      <c r="P637" s="123"/>
      <c r="AJ637" s="124"/>
      <c r="AQ637" s="125"/>
      <c r="AR637" s="123"/>
      <c r="AS637" s="125"/>
      <c r="AT637" s="125"/>
      <c r="AU637" s="126"/>
      <c r="AW637" s="127"/>
    </row>
    <row r="638" spans="16:49" ht="15.75" customHeight="1">
      <c r="P638" s="123"/>
      <c r="AJ638" s="124"/>
      <c r="AQ638" s="125"/>
      <c r="AR638" s="123"/>
      <c r="AS638" s="125"/>
      <c r="AT638" s="125"/>
      <c r="AU638" s="126"/>
      <c r="AW638" s="127"/>
    </row>
    <row r="639" spans="16:49" ht="15.75" customHeight="1">
      <c r="P639" s="123"/>
      <c r="AJ639" s="124"/>
      <c r="AQ639" s="125"/>
      <c r="AR639" s="123"/>
      <c r="AS639" s="125"/>
      <c r="AT639" s="125"/>
      <c r="AU639" s="126"/>
      <c r="AW639" s="127"/>
    </row>
    <row r="640" spans="16:49" ht="15.75" customHeight="1">
      <c r="P640" s="123"/>
      <c r="AJ640" s="124"/>
      <c r="AQ640" s="125"/>
      <c r="AR640" s="123"/>
      <c r="AS640" s="125"/>
      <c r="AT640" s="125"/>
      <c r="AU640" s="126"/>
      <c r="AW640" s="127"/>
    </row>
    <row r="641" spans="16:49" ht="15.75" customHeight="1">
      <c r="P641" s="123"/>
      <c r="AJ641" s="124"/>
      <c r="AQ641" s="125"/>
      <c r="AR641" s="123"/>
      <c r="AS641" s="125"/>
      <c r="AT641" s="125"/>
      <c r="AU641" s="126"/>
      <c r="AW641" s="127"/>
    </row>
    <row r="642" spans="16:49" ht="15.75" customHeight="1">
      <c r="P642" s="123"/>
      <c r="AJ642" s="124"/>
      <c r="AQ642" s="125"/>
      <c r="AR642" s="123"/>
      <c r="AS642" s="125"/>
      <c r="AT642" s="125"/>
      <c r="AU642" s="126"/>
      <c r="AW642" s="127"/>
    </row>
    <row r="643" spans="16:49" ht="15.75" customHeight="1">
      <c r="P643" s="123"/>
      <c r="AJ643" s="124"/>
      <c r="AQ643" s="125"/>
      <c r="AR643" s="123"/>
      <c r="AS643" s="125"/>
      <c r="AT643" s="125"/>
      <c r="AU643" s="126"/>
      <c r="AW643" s="127"/>
    </row>
    <row r="644" spans="16:49" ht="15.75" customHeight="1">
      <c r="P644" s="123"/>
      <c r="AJ644" s="124"/>
      <c r="AQ644" s="125"/>
      <c r="AR644" s="123"/>
      <c r="AS644" s="125"/>
      <c r="AT644" s="125"/>
      <c r="AU644" s="126"/>
      <c r="AW644" s="127"/>
    </row>
    <row r="645" spans="16:49" ht="15.75" customHeight="1">
      <c r="P645" s="123"/>
      <c r="AJ645" s="124"/>
      <c r="AQ645" s="125"/>
      <c r="AR645" s="123"/>
      <c r="AS645" s="125"/>
      <c r="AT645" s="125"/>
      <c r="AU645" s="126"/>
      <c r="AW645" s="127"/>
    </row>
    <row r="646" spans="16:49" ht="15.75" customHeight="1">
      <c r="P646" s="123"/>
      <c r="AJ646" s="124"/>
      <c r="AQ646" s="125"/>
      <c r="AR646" s="123"/>
      <c r="AS646" s="125"/>
      <c r="AT646" s="125"/>
      <c r="AU646" s="126"/>
      <c r="AW646" s="127"/>
    </row>
    <row r="647" spans="16:49" ht="15.75" customHeight="1">
      <c r="P647" s="123"/>
      <c r="AJ647" s="124"/>
      <c r="AQ647" s="125"/>
      <c r="AR647" s="123"/>
      <c r="AS647" s="125"/>
      <c r="AT647" s="125"/>
      <c r="AU647" s="126"/>
      <c r="AW647" s="127"/>
    </row>
    <row r="648" spans="16:49" ht="15.75" customHeight="1">
      <c r="P648" s="123"/>
      <c r="AJ648" s="124"/>
      <c r="AQ648" s="125"/>
      <c r="AR648" s="123"/>
      <c r="AS648" s="125"/>
      <c r="AT648" s="125"/>
      <c r="AU648" s="126"/>
      <c r="AW648" s="127"/>
    </row>
    <row r="649" spans="16:49" ht="15.75" customHeight="1">
      <c r="P649" s="123"/>
      <c r="AJ649" s="124"/>
      <c r="AQ649" s="125"/>
      <c r="AR649" s="123"/>
      <c r="AS649" s="125"/>
      <c r="AT649" s="125"/>
      <c r="AU649" s="126"/>
      <c r="AW649" s="127"/>
    </row>
    <row r="650" spans="16:49" ht="15.75" customHeight="1">
      <c r="P650" s="123"/>
      <c r="AJ650" s="124"/>
      <c r="AQ650" s="125"/>
      <c r="AR650" s="123"/>
      <c r="AS650" s="125"/>
      <c r="AT650" s="125"/>
      <c r="AU650" s="126"/>
      <c r="AW650" s="127"/>
    </row>
    <row r="651" spans="16:49" ht="15.75" customHeight="1">
      <c r="P651" s="123"/>
      <c r="AJ651" s="124"/>
      <c r="AQ651" s="125"/>
      <c r="AR651" s="123"/>
      <c r="AS651" s="125"/>
      <c r="AT651" s="125"/>
      <c r="AU651" s="126"/>
      <c r="AW651" s="127"/>
    </row>
    <row r="652" spans="16:49" ht="15.75" customHeight="1">
      <c r="P652" s="123"/>
      <c r="AJ652" s="124"/>
      <c r="AQ652" s="125"/>
      <c r="AR652" s="123"/>
      <c r="AS652" s="125"/>
      <c r="AT652" s="125"/>
      <c r="AU652" s="126"/>
      <c r="AW652" s="127"/>
    </row>
    <row r="653" spans="16:49" ht="15.75" customHeight="1">
      <c r="P653" s="123"/>
      <c r="AJ653" s="124"/>
      <c r="AQ653" s="125"/>
      <c r="AR653" s="123"/>
      <c r="AS653" s="125"/>
      <c r="AT653" s="125"/>
      <c r="AU653" s="126"/>
      <c r="AW653" s="127"/>
    </row>
    <row r="654" spans="16:49" ht="15.75" customHeight="1">
      <c r="P654" s="123"/>
      <c r="AJ654" s="124"/>
      <c r="AQ654" s="125"/>
      <c r="AR654" s="123"/>
      <c r="AS654" s="125"/>
      <c r="AT654" s="125"/>
      <c r="AU654" s="126"/>
      <c r="AW654" s="127"/>
    </row>
    <row r="655" spans="16:49" ht="15.75" customHeight="1">
      <c r="P655" s="123"/>
      <c r="AJ655" s="124"/>
      <c r="AQ655" s="125"/>
      <c r="AR655" s="123"/>
      <c r="AS655" s="125"/>
      <c r="AT655" s="125"/>
      <c r="AU655" s="126"/>
      <c r="AW655" s="127"/>
    </row>
    <row r="656" spans="16:49" ht="15.75" customHeight="1">
      <c r="P656" s="123"/>
      <c r="AJ656" s="124"/>
      <c r="AQ656" s="125"/>
      <c r="AR656" s="123"/>
      <c r="AS656" s="125"/>
      <c r="AT656" s="125"/>
      <c r="AU656" s="126"/>
      <c r="AW656" s="127"/>
    </row>
    <row r="657" spans="16:49" ht="15.75" customHeight="1">
      <c r="P657" s="123"/>
      <c r="AJ657" s="124"/>
      <c r="AQ657" s="125"/>
      <c r="AR657" s="123"/>
      <c r="AS657" s="125"/>
      <c r="AT657" s="125"/>
      <c r="AU657" s="126"/>
      <c r="AW657" s="127"/>
    </row>
    <row r="658" spans="16:49" ht="15.75" customHeight="1">
      <c r="P658" s="123"/>
      <c r="AJ658" s="124"/>
      <c r="AQ658" s="125"/>
      <c r="AR658" s="123"/>
      <c r="AS658" s="125"/>
      <c r="AT658" s="125"/>
      <c r="AU658" s="126"/>
      <c r="AW658" s="127"/>
    </row>
    <row r="659" spans="16:49" ht="15.75" customHeight="1">
      <c r="P659" s="123"/>
      <c r="AJ659" s="124"/>
      <c r="AQ659" s="125"/>
      <c r="AR659" s="123"/>
      <c r="AS659" s="125"/>
      <c r="AT659" s="125"/>
      <c r="AU659" s="126"/>
      <c r="AW659" s="127"/>
    </row>
    <row r="660" spans="16:49" ht="15.75" customHeight="1">
      <c r="P660" s="123"/>
      <c r="AJ660" s="124"/>
      <c r="AQ660" s="125"/>
      <c r="AR660" s="123"/>
      <c r="AS660" s="125"/>
      <c r="AT660" s="125"/>
      <c r="AU660" s="126"/>
      <c r="AW660" s="127"/>
    </row>
    <row r="661" spans="16:49" ht="15.75" customHeight="1">
      <c r="P661" s="123"/>
      <c r="AJ661" s="124"/>
      <c r="AQ661" s="125"/>
      <c r="AR661" s="123"/>
      <c r="AS661" s="125"/>
      <c r="AT661" s="125"/>
      <c r="AU661" s="126"/>
      <c r="AW661" s="127"/>
    </row>
    <row r="662" spans="16:49" ht="15.75" customHeight="1">
      <c r="P662" s="123"/>
      <c r="AJ662" s="124"/>
      <c r="AQ662" s="125"/>
      <c r="AR662" s="123"/>
      <c r="AS662" s="125"/>
      <c r="AT662" s="125"/>
      <c r="AU662" s="126"/>
      <c r="AW662" s="127"/>
    </row>
    <row r="663" spans="16:49" ht="15.75" customHeight="1">
      <c r="P663" s="123"/>
      <c r="AJ663" s="124"/>
      <c r="AQ663" s="125"/>
      <c r="AR663" s="123"/>
      <c r="AS663" s="125"/>
      <c r="AT663" s="125"/>
      <c r="AU663" s="126"/>
      <c r="AW663" s="127"/>
    </row>
    <row r="664" spans="16:49" ht="15.75" customHeight="1">
      <c r="P664" s="123"/>
      <c r="AJ664" s="124"/>
      <c r="AQ664" s="125"/>
      <c r="AR664" s="123"/>
      <c r="AS664" s="125"/>
      <c r="AT664" s="125"/>
      <c r="AU664" s="126"/>
      <c r="AW664" s="127"/>
    </row>
    <row r="665" spans="16:49" ht="15.75" customHeight="1">
      <c r="P665" s="123"/>
      <c r="AJ665" s="124"/>
      <c r="AQ665" s="125"/>
      <c r="AR665" s="123"/>
      <c r="AS665" s="125"/>
      <c r="AT665" s="125"/>
      <c r="AU665" s="126"/>
      <c r="AW665" s="127"/>
    </row>
    <row r="666" spans="16:49" ht="15.75" customHeight="1">
      <c r="P666" s="123"/>
      <c r="AJ666" s="124"/>
      <c r="AQ666" s="125"/>
      <c r="AR666" s="123"/>
      <c r="AS666" s="125"/>
      <c r="AT666" s="125"/>
      <c r="AU666" s="126"/>
      <c r="AW666" s="127"/>
    </row>
    <row r="667" spans="16:49" ht="15.75" customHeight="1">
      <c r="P667" s="123"/>
      <c r="AJ667" s="124"/>
      <c r="AQ667" s="125"/>
      <c r="AR667" s="123"/>
      <c r="AS667" s="125"/>
      <c r="AT667" s="125"/>
      <c r="AU667" s="126"/>
      <c r="AW667" s="127"/>
    </row>
    <row r="668" spans="16:49" ht="15.75" customHeight="1">
      <c r="P668" s="123"/>
      <c r="AJ668" s="124"/>
      <c r="AQ668" s="125"/>
      <c r="AR668" s="123"/>
      <c r="AS668" s="125"/>
      <c r="AT668" s="125"/>
      <c r="AU668" s="126"/>
      <c r="AW668" s="127"/>
    </row>
    <row r="669" spans="16:49" ht="15.75" customHeight="1">
      <c r="P669" s="123"/>
      <c r="AJ669" s="124"/>
      <c r="AQ669" s="125"/>
      <c r="AR669" s="123"/>
      <c r="AS669" s="125"/>
      <c r="AT669" s="125"/>
      <c r="AU669" s="126"/>
      <c r="AW669" s="127"/>
    </row>
    <row r="670" spans="16:49" ht="15.75" customHeight="1">
      <c r="P670" s="123"/>
      <c r="AJ670" s="124"/>
      <c r="AQ670" s="125"/>
      <c r="AR670" s="123"/>
      <c r="AS670" s="125"/>
      <c r="AT670" s="125"/>
      <c r="AU670" s="126"/>
      <c r="AW670" s="127"/>
    </row>
    <row r="671" spans="16:49" ht="15.75" customHeight="1">
      <c r="P671" s="123"/>
      <c r="AJ671" s="124"/>
      <c r="AQ671" s="125"/>
      <c r="AR671" s="123"/>
      <c r="AS671" s="125"/>
      <c r="AT671" s="125"/>
      <c r="AU671" s="126"/>
      <c r="AW671" s="127"/>
    </row>
    <row r="672" spans="16:49" ht="15.75" customHeight="1">
      <c r="P672" s="123"/>
      <c r="AJ672" s="124"/>
      <c r="AQ672" s="125"/>
      <c r="AR672" s="123"/>
      <c r="AS672" s="125"/>
      <c r="AT672" s="125"/>
      <c r="AU672" s="126"/>
      <c r="AW672" s="127"/>
    </row>
    <row r="673" spans="16:49" ht="15.75" customHeight="1">
      <c r="P673" s="123"/>
      <c r="AJ673" s="124"/>
      <c r="AQ673" s="125"/>
      <c r="AR673" s="123"/>
      <c r="AS673" s="125"/>
      <c r="AT673" s="125"/>
      <c r="AU673" s="126"/>
      <c r="AW673" s="127"/>
    </row>
    <row r="674" spans="16:49" ht="15.75" customHeight="1">
      <c r="P674" s="123"/>
      <c r="AJ674" s="124"/>
      <c r="AQ674" s="125"/>
      <c r="AR674" s="123"/>
      <c r="AS674" s="125"/>
      <c r="AT674" s="125"/>
      <c r="AU674" s="126"/>
      <c r="AW674" s="127"/>
    </row>
    <row r="675" spans="16:49" ht="15.75" customHeight="1">
      <c r="P675" s="123"/>
      <c r="AJ675" s="124"/>
      <c r="AQ675" s="125"/>
      <c r="AR675" s="123"/>
      <c r="AS675" s="125"/>
      <c r="AT675" s="125"/>
      <c r="AU675" s="126"/>
      <c r="AW675" s="127"/>
    </row>
    <row r="676" spans="16:49" ht="15.75" customHeight="1">
      <c r="P676" s="123"/>
      <c r="AJ676" s="124"/>
      <c r="AQ676" s="125"/>
      <c r="AR676" s="123"/>
      <c r="AS676" s="125"/>
      <c r="AT676" s="125"/>
      <c r="AU676" s="126"/>
      <c r="AW676" s="127"/>
    </row>
    <row r="677" spans="16:49" ht="15.75" customHeight="1">
      <c r="P677" s="123"/>
      <c r="AJ677" s="124"/>
      <c r="AQ677" s="125"/>
      <c r="AR677" s="123"/>
      <c r="AS677" s="125"/>
      <c r="AT677" s="125"/>
      <c r="AU677" s="126"/>
      <c r="AW677" s="127"/>
    </row>
    <row r="678" spans="16:49" ht="15.75" customHeight="1">
      <c r="P678" s="123"/>
      <c r="AJ678" s="124"/>
      <c r="AQ678" s="125"/>
      <c r="AR678" s="123"/>
      <c r="AS678" s="125"/>
      <c r="AT678" s="125"/>
      <c r="AU678" s="126"/>
      <c r="AW678" s="127"/>
    </row>
    <row r="679" spans="16:49" ht="15.75" customHeight="1">
      <c r="P679" s="123"/>
      <c r="AJ679" s="124"/>
      <c r="AQ679" s="125"/>
      <c r="AR679" s="123"/>
      <c r="AS679" s="125"/>
      <c r="AT679" s="125"/>
      <c r="AU679" s="126"/>
      <c r="AW679" s="127"/>
    </row>
    <row r="680" spans="16:49" ht="15.75" customHeight="1">
      <c r="P680" s="123"/>
      <c r="AJ680" s="124"/>
      <c r="AQ680" s="125"/>
      <c r="AR680" s="123"/>
      <c r="AS680" s="125"/>
      <c r="AT680" s="125"/>
      <c r="AU680" s="126"/>
      <c r="AW680" s="127"/>
    </row>
    <row r="681" spans="16:49" ht="15.75" customHeight="1">
      <c r="P681" s="123"/>
      <c r="AJ681" s="124"/>
      <c r="AQ681" s="125"/>
      <c r="AR681" s="123"/>
      <c r="AS681" s="125"/>
      <c r="AT681" s="125"/>
      <c r="AU681" s="126"/>
      <c r="AW681" s="127"/>
    </row>
    <row r="682" spans="16:49" ht="15.75" customHeight="1">
      <c r="P682" s="123"/>
      <c r="AJ682" s="124"/>
      <c r="AQ682" s="125"/>
      <c r="AR682" s="123"/>
      <c r="AS682" s="125"/>
      <c r="AT682" s="125"/>
      <c r="AU682" s="126"/>
      <c r="AW682" s="127"/>
    </row>
    <row r="683" spans="16:49" ht="15.75" customHeight="1">
      <c r="P683" s="123"/>
      <c r="AJ683" s="124"/>
      <c r="AQ683" s="125"/>
      <c r="AR683" s="123"/>
      <c r="AS683" s="125"/>
      <c r="AT683" s="125"/>
      <c r="AU683" s="126"/>
      <c r="AW683" s="127"/>
    </row>
    <row r="684" spans="16:49" ht="15.75" customHeight="1">
      <c r="P684" s="123"/>
      <c r="AJ684" s="124"/>
      <c r="AQ684" s="125"/>
      <c r="AR684" s="123"/>
      <c r="AS684" s="125"/>
      <c r="AT684" s="125"/>
      <c r="AU684" s="126"/>
      <c r="AW684" s="127"/>
    </row>
    <row r="685" spans="16:49" ht="15.75" customHeight="1">
      <c r="P685" s="123"/>
      <c r="AJ685" s="124"/>
      <c r="AQ685" s="125"/>
      <c r="AR685" s="123"/>
      <c r="AS685" s="125"/>
      <c r="AT685" s="125"/>
      <c r="AU685" s="126"/>
      <c r="AW685" s="127"/>
    </row>
    <row r="686" spans="16:49" ht="15.75" customHeight="1">
      <c r="P686" s="123"/>
      <c r="AJ686" s="124"/>
      <c r="AQ686" s="125"/>
      <c r="AR686" s="123"/>
      <c r="AS686" s="125"/>
      <c r="AT686" s="125"/>
      <c r="AU686" s="126"/>
      <c r="AW686" s="127"/>
    </row>
    <row r="687" spans="16:49" ht="15.75" customHeight="1">
      <c r="P687" s="123"/>
      <c r="AJ687" s="124"/>
      <c r="AQ687" s="125"/>
      <c r="AR687" s="123"/>
      <c r="AS687" s="125"/>
      <c r="AT687" s="125"/>
      <c r="AU687" s="126"/>
      <c r="AW687" s="127"/>
    </row>
    <row r="688" spans="16:49" ht="15.75" customHeight="1">
      <c r="P688" s="123"/>
      <c r="AJ688" s="124"/>
      <c r="AQ688" s="125"/>
      <c r="AR688" s="123"/>
      <c r="AS688" s="125"/>
      <c r="AT688" s="125"/>
      <c r="AU688" s="126"/>
      <c r="AW688" s="127"/>
    </row>
    <row r="689" spans="16:49" ht="15.75" customHeight="1">
      <c r="P689" s="123"/>
      <c r="AJ689" s="124"/>
      <c r="AQ689" s="125"/>
      <c r="AR689" s="123"/>
      <c r="AS689" s="125"/>
      <c r="AT689" s="125"/>
      <c r="AU689" s="126"/>
      <c r="AW689" s="127"/>
    </row>
    <row r="690" spans="16:49" ht="15.75" customHeight="1">
      <c r="P690" s="123"/>
      <c r="AJ690" s="124"/>
      <c r="AQ690" s="125"/>
      <c r="AR690" s="123"/>
      <c r="AS690" s="125"/>
      <c r="AT690" s="125"/>
      <c r="AU690" s="126"/>
      <c r="AW690" s="127"/>
    </row>
    <row r="691" spans="16:49" ht="15.75" customHeight="1">
      <c r="P691" s="123"/>
      <c r="AJ691" s="124"/>
      <c r="AQ691" s="125"/>
      <c r="AR691" s="123"/>
      <c r="AS691" s="125"/>
      <c r="AT691" s="125"/>
      <c r="AU691" s="126"/>
      <c r="AW691" s="127"/>
    </row>
    <row r="692" spans="16:49" ht="15.75" customHeight="1">
      <c r="P692" s="123"/>
      <c r="AJ692" s="124"/>
      <c r="AQ692" s="125"/>
      <c r="AR692" s="123"/>
      <c r="AS692" s="125"/>
      <c r="AT692" s="125"/>
      <c r="AU692" s="126"/>
      <c r="AW692" s="127"/>
    </row>
    <row r="693" spans="16:49" ht="15.75" customHeight="1">
      <c r="P693" s="123"/>
      <c r="AJ693" s="124"/>
      <c r="AQ693" s="125"/>
      <c r="AR693" s="123"/>
      <c r="AS693" s="125"/>
      <c r="AT693" s="125"/>
      <c r="AU693" s="126"/>
      <c r="AW693" s="127"/>
    </row>
    <row r="694" spans="16:49" ht="15.75" customHeight="1">
      <c r="P694" s="123"/>
      <c r="AJ694" s="124"/>
      <c r="AQ694" s="125"/>
      <c r="AR694" s="123"/>
      <c r="AS694" s="125"/>
      <c r="AT694" s="125"/>
      <c r="AU694" s="126"/>
      <c r="AW694" s="127"/>
    </row>
    <row r="695" spans="16:49" ht="15.75" customHeight="1">
      <c r="P695" s="123"/>
      <c r="AJ695" s="124"/>
      <c r="AQ695" s="125"/>
      <c r="AR695" s="123"/>
      <c r="AS695" s="125"/>
      <c r="AT695" s="125"/>
      <c r="AU695" s="126"/>
      <c r="AW695" s="127"/>
    </row>
    <row r="696" spans="16:49" ht="15.75" customHeight="1">
      <c r="P696" s="123"/>
      <c r="AJ696" s="124"/>
      <c r="AQ696" s="125"/>
      <c r="AR696" s="123"/>
      <c r="AS696" s="125"/>
      <c r="AT696" s="125"/>
      <c r="AU696" s="126"/>
      <c r="AW696" s="127"/>
    </row>
    <row r="697" spans="16:49" ht="15.75" customHeight="1">
      <c r="P697" s="123"/>
      <c r="AJ697" s="124"/>
      <c r="AQ697" s="125"/>
      <c r="AR697" s="123"/>
      <c r="AS697" s="125"/>
      <c r="AT697" s="125"/>
      <c r="AU697" s="126"/>
      <c r="AW697" s="127"/>
    </row>
    <row r="698" spans="16:49" ht="15.75" customHeight="1">
      <c r="P698" s="123"/>
      <c r="AJ698" s="124"/>
      <c r="AQ698" s="125"/>
      <c r="AR698" s="123"/>
      <c r="AS698" s="125"/>
      <c r="AT698" s="125"/>
      <c r="AU698" s="126"/>
      <c r="AW698" s="127"/>
    </row>
    <row r="699" spans="16:49" ht="15.75" customHeight="1">
      <c r="P699" s="123"/>
      <c r="AJ699" s="124"/>
      <c r="AQ699" s="125"/>
      <c r="AR699" s="123"/>
      <c r="AS699" s="125"/>
      <c r="AT699" s="125"/>
      <c r="AU699" s="126"/>
      <c r="AW699" s="127"/>
    </row>
    <row r="700" spans="16:49" ht="15.75" customHeight="1">
      <c r="P700" s="123"/>
      <c r="AJ700" s="124"/>
      <c r="AQ700" s="125"/>
      <c r="AR700" s="123"/>
      <c r="AS700" s="125"/>
      <c r="AT700" s="125"/>
      <c r="AU700" s="126"/>
      <c r="AW700" s="127"/>
    </row>
    <row r="701" spans="16:49" ht="15.75" customHeight="1">
      <c r="P701" s="123"/>
      <c r="AJ701" s="124"/>
      <c r="AQ701" s="125"/>
      <c r="AR701" s="123"/>
      <c r="AS701" s="125"/>
      <c r="AT701" s="125"/>
      <c r="AU701" s="126"/>
      <c r="AW701" s="127"/>
    </row>
    <row r="702" spans="16:49" ht="15.75" customHeight="1">
      <c r="P702" s="123"/>
      <c r="AJ702" s="124"/>
      <c r="AQ702" s="125"/>
      <c r="AR702" s="123"/>
      <c r="AS702" s="125"/>
      <c r="AT702" s="125"/>
      <c r="AU702" s="126"/>
      <c r="AW702" s="127"/>
    </row>
    <row r="703" spans="16:49" ht="15.75" customHeight="1">
      <c r="P703" s="123"/>
      <c r="AJ703" s="124"/>
      <c r="AQ703" s="125"/>
      <c r="AR703" s="123"/>
      <c r="AS703" s="125"/>
      <c r="AT703" s="125"/>
      <c r="AU703" s="126"/>
      <c r="AW703" s="127"/>
    </row>
    <row r="704" spans="16:49" ht="15.75" customHeight="1">
      <c r="P704" s="123"/>
      <c r="AJ704" s="124"/>
      <c r="AQ704" s="125"/>
      <c r="AR704" s="123"/>
      <c r="AS704" s="125"/>
      <c r="AT704" s="125"/>
      <c r="AU704" s="126"/>
      <c r="AW704" s="127"/>
    </row>
    <row r="705" spans="16:49" ht="15.75" customHeight="1">
      <c r="P705" s="123"/>
      <c r="AJ705" s="124"/>
      <c r="AQ705" s="125"/>
      <c r="AR705" s="123"/>
      <c r="AS705" s="125"/>
      <c r="AT705" s="125"/>
      <c r="AU705" s="126"/>
      <c r="AW705" s="127"/>
    </row>
    <row r="706" spans="16:49" ht="15.75" customHeight="1">
      <c r="P706" s="123"/>
      <c r="AJ706" s="124"/>
      <c r="AQ706" s="125"/>
      <c r="AR706" s="123"/>
      <c r="AS706" s="125"/>
      <c r="AT706" s="125"/>
      <c r="AU706" s="126"/>
      <c r="AW706" s="127"/>
    </row>
    <row r="707" spans="16:49" ht="15.75" customHeight="1">
      <c r="P707" s="123"/>
      <c r="AJ707" s="124"/>
      <c r="AQ707" s="125"/>
      <c r="AR707" s="123"/>
      <c r="AS707" s="125"/>
      <c r="AT707" s="125"/>
      <c r="AU707" s="126"/>
      <c r="AW707" s="127"/>
    </row>
    <row r="708" spans="16:49" ht="15.75" customHeight="1">
      <c r="P708" s="123"/>
      <c r="AJ708" s="124"/>
      <c r="AQ708" s="125"/>
      <c r="AR708" s="123"/>
      <c r="AS708" s="125"/>
      <c r="AT708" s="125"/>
      <c r="AU708" s="126"/>
      <c r="AW708" s="127"/>
    </row>
    <row r="709" spans="16:49" ht="15.75" customHeight="1">
      <c r="P709" s="123"/>
      <c r="AJ709" s="124"/>
      <c r="AQ709" s="125"/>
      <c r="AR709" s="123"/>
      <c r="AS709" s="125"/>
      <c r="AT709" s="125"/>
      <c r="AU709" s="126"/>
      <c r="AW709" s="127"/>
    </row>
    <row r="710" spans="16:49" ht="15.75" customHeight="1">
      <c r="P710" s="123"/>
      <c r="AJ710" s="124"/>
      <c r="AQ710" s="125"/>
      <c r="AR710" s="123"/>
      <c r="AS710" s="125"/>
      <c r="AT710" s="125"/>
      <c r="AU710" s="126"/>
      <c r="AW710" s="127"/>
    </row>
    <row r="711" spans="16:49" ht="15.75" customHeight="1">
      <c r="P711" s="123"/>
      <c r="AJ711" s="124"/>
      <c r="AQ711" s="125"/>
      <c r="AR711" s="123"/>
      <c r="AS711" s="125"/>
      <c r="AT711" s="125"/>
      <c r="AU711" s="126"/>
      <c r="AW711" s="127"/>
    </row>
    <row r="712" spans="16:49" ht="15.75" customHeight="1">
      <c r="P712" s="123"/>
      <c r="AJ712" s="124"/>
      <c r="AQ712" s="125"/>
      <c r="AR712" s="123"/>
      <c r="AS712" s="125"/>
      <c r="AT712" s="125"/>
      <c r="AU712" s="126"/>
      <c r="AW712" s="127"/>
    </row>
    <row r="713" spans="16:49" ht="15.75" customHeight="1">
      <c r="P713" s="123"/>
      <c r="AJ713" s="124"/>
      <c r="AQ713" s="125"/>
      <c r="AR713" s="123"/>
      <c r="AS713" s="125"/>
      <c r="AT713" s="125"/>
      <c r="AU713" s="126"/>
      <c r="AW713" s="127"/>
    </row>
    <row r="714" spans="16:49" ht="15.75" customHeight="1">
      <c r="P714" s="123"/>
      <c r="AJ714" s="124"/>
      <c r="AQ714" s="125"/>
      <c r="AR714" s="123"/>
      <c r="AS714" s="125"/>
      <c r="AT714" s="125"/>
      <c r="AU714" s="126"/>
      <c r="AW714" s="127"/>
    </row>
    <row r="715" spans="16:49" ht="15.75" customHeight="1">
      <c r="P715" s="123"/>
      <c r="AJ715" s="124"/>
      <c r="AQ715" s="125"/>
      <c r="AR715" s="123"/>
      <c r="AS715" s="125"/>
      <c r="AT715" s="125"/>
      <c r="AU715" s="126"/>
      <c r="AW715" s="127"/>
    </row>
    <row r="716" spans="16:49" ht="15.75" customHeight="1">
      <c r="P716" s="123"/>
      <c r="AJ716" s="124"/>
      <c r="AQ716" s="125"/>
      <c r="AR716" s="123"/>
      <c r="AS716" s="125"/>
      <c r="AT716" s="125"/>
      <c r="AU716" s="126"/>
      <c r="AW716" s="127"/>
    </row>
    <row r="717" spans="16:49" ht="15.75" customHeight="1">
      <c r="P717" s="123"/>
      <c r="AJ717" s="124"/>
      <c r="AQ717" s="125"/>
      <c r="AR717" s="123"/>
      <c r="AS717" s="125"/>
      <c r="AT717" s="125"/>
      <c r="AU717" s="126"/>
      <c r="AW717" s="127"/>
    </row>
    <row r="718" spans="16:49" ht="15.75" customHeight="1">
      <c r="P718" s="123"/>
      <c r="AJ718" s="124"/>
      <c r="AQ718" s="125"/>
      <c r="AR718" s="123"/>
      <c r="AS718" s="125"/>
      <c r="AT718" s="125"/>
      <c r="AU718" s="126"/>
      <c r="AW718" s="127"/>
    </row>
    <row r="719" spans="16:49" ht="15.75" customHeight="1">
      <c r="P719" s="123"/>
      <c r="AJ719" s="124"/>
      <c r="AQ719" s="125"/>
      <c r="AR719" s="123"/>
      <c r="AS719" s="125"/>
      <c r="AT719" s="125"/>
      <c r="AU719" s="126"/>
      <c r="AW719" s="127"/>
    </row>
    <row r="720" spans="16:49" ht="15.75" customHeight="1">
      <c r="P720" s="123"/>
      <c r="AJ720" s="124"/>
      <c r="AQ720" s="125"/>
      <c r="AR720" s="123"/>
      <c r="AS720" s="125"/>
      <c r="AT720" s="125"/>
      <c r="AU720" s="126"/>
      <c r="AW720" s="127"/>
    </row>
    <row r="721" spans="16:49" ht="15.75" customHeight="1">
      <c r="P721" s="123"/>
      <c r="AJ721" s="124"/>
      <c r="AQ721" s="125"/>
      <c r="AR721" s="123"/>
      <c r="AS721" s="125"/>
      <c r="AT721" s="125"/>
      <c r="AU721" s="126"/>
      <c r="AW721" s="127"/>
    </row>
    <row r="722" spans="16:49" ht="15.75" customHeight="1">
      <c r="P722" s="123"/>
      <c r="AJ722" s="124"/>
      <c r="AQ722" s="125"/>
      <c r="AR722" s="123"/>
      <c r="AS722" s="125"/>
      <c r="AT722" s="125"/>
      <c r="AU722" s="126"/>
      <c r="AW722" s="127"/>
    </row>
    <row r="723" spans="16:49" ht="15.75" customHeight="1">
      <c r="P723" s="123"/>
      <c r="AJ723" s="124"/>
      <c r="AQ723" s="125"/>
      <c r="AR723" s="123"/>
      <c r="AS723" s="125"/>
      <c r="AT723" s="125"/>
      <c r="AU723" s="126"/>
      <c r="AW723" s="127"/>
    </row>
    <row r="724" spans="16:49" ht="15.75" customHeight="1">
      <c r="P724" s="123"/>
      <c r="AJ724" s="124"/>
      <c r="AQ724" s="125"/>
      <c r="AR724" s="123"/>
      <c r="AS724" s="125"/>
      <c r="AT724" s="125"/>
      <c r="AU724" s="126"/>
      <c r="AW724" s="127"/>
    </row>
    <row r="725" spans="16:49" ht="15.75" customHeight="1">
      <c r="P725" s="123"/>
      <c r="AJ725" s="124"/>
      <c r="AQ725" s="125"/>
      <c r="AR725" s="123"/>
      <c r="AS725" s="125"/>
      <c r="AT725" s="125"/>
      <c r="AU725" s="126"/>
      <c r="AW725" s="127"/>
    </row>
    <row r="726" spans="16:49" ht="15.75" customHeight="1">
      <c r="P726" s="123"/>
      <c r="AJ726" s="124"/>
      <c r="AQ726" s="125"/>
      <c r="AR726" s="123"/>
      <c r="AS726" s="125"/>
      <c r="AT726" s="125"/>
      <c r="AU726" s="126"/>
      <c r="AW726" s="127"/>
    </row>
    <row r="727" spans="16:49" ht="15.75" customHeight="1">
      <c r="P727" s="123"/>
      <c r="AJ727" s="124"/>
      <c r="AQ727" s="125"/>
      <c r="AR727" s="123"/>
      <c r="AS727" s="125"/>
      <c r="AT727" s="125"/>
      <c r="AU727" s="126"/>
      <c r="AW727" s="127"/>
    </row>
    <row r="728" spans="16:49" ht="15.75" customHeight="1">
      <c r="P728" s="123"/>
      <c r="AJ728" s="124"/>
      <c r="AQ728" s="125"/>
      <c r="AR728" s="123"/>
      <c r="AS728" s="125"/>
      <c r="AT728" s="125"/>
      <c r="AU728" s="126"/>
      <c r="AW728" s="127"/>
    </row>
    <row r="729" spans="16:49" ht="15.75" customHeight="1">
      <c r="P729" s="123"/>
      <c r="AJ729" s="124"/>
      <c r="AQ729" s="125"/>
      <c r="AR729" s="123"/>
      <c r="AS729" s="125"/>
      <c r="AT729" s="125"/>
      <c r="AU729" s="126"/>
      <c r="AW729" s="127"/>
    </row>
    <row r="730" spans="16:49" ht="15.75" customHeight="1">
      <c r="P730" s="123"/>
      <c r="AJ730" s="124"/>
      <c r="AQ730" s="125"/>
      <c r="AR730" s="123"/>
      <c r="AS730" s="125"/>
      <c r="AT730" s="125"/>
      <c r="AU730" s="126"/>
      <c r="AW730" s="127"/>
    </row>
    <row r="731" spans="16:49" ht="15.75" customHeight="1">
      <c r="P731" s="123"/>
      <c r="AJ731" s="124"/>
      <c r="AQ731" s="125"/>
      <c r="AR731" s="123"/>
      <c r="AS731" s="125"/>
      <c r="AT731" s="125"/>
      <c r="AU731" s="126"/>
      <c r="AW731" s="127"/>
    </row>
    <row r="732" spans="16:49" ht="15.75" customHeight="1">
      <c r="P732" s="123"/>
      <c r="AJ732" s="124"/>
      <c r="AQ732" s="125"/>
      <c r="AR732" s="123"/>
      <c r="AS732" s="125"/>
      <c r="AT732" s="125"/>
      <c r="AU732" s="126"/>
      <c r="AW732" s="127"/>
    </row>
    <row r="733" spans="16:49" ht="15.75" customHeight="1">
      <c r="P733" s="123"/>
      <c r="AJ733" s="124"/>
      <c r="AQ733" s="125"/>
      <c r="AR733" s="123"/>
      <c r="AS733" s="125"/>
      <c r="AT733" s="125"/>
      <c r="AU733" s="126"/>
      <c r="AW733" s="127"/>
    </row>
    <row r="734" spans="16:49" ht="15.75" customHeight="1">
      <c r="P734" s="123"/>
      <c r="AJ734" s="124"/>
      <c r="AQ734" s="125"/>
      <c r="AR734" s="123"/>
      <c r="AS734" s="125"/>
      <c r="AT734" s="125"/>
      <c r="AU734" s="126"/>
      <c r="AW734" s="127"/>
    </row>
    <row r="735" spans="16:49" ht="15.75" customHeight="1">
      <c r="P735" s="123"/>
      <c r="AJ735" s="124"/>
      <c r="AQ735" s="125"/>
      <c r="AR735" s="123"/>
      <c r="AS735" s="125"/>
      <c r="AT735" s="125"/>
      <c r="AU735" s="126"/>
      <c r="AW735" s="127"/>
    </row>
    <row r="736" spans="16:49" ht="15.75" customHeight="1">
      <c r="P736" s="123"/>
      <c r="AJ736" s="124"/>
      <c r="AQ736" s="125"/>
      <c r="AR736" s="123"/>
      <c r="AS736" s="125"/>
      <c r="AT736" s="125"/>
      <c r="AU736" s="126"/>
      <c r="AW736" s="127"/>
    </row>
    <row r="737" spans="16:49" ht="15.75" customHeight="1">
      <c r="P737" s="123"/>
      <c r="AJ737" s="124"/>
      <c r="AQ737" s="125"/>
      <c r="AR737" s="123"/>
      <c r="AS737" s="125"/>
      <c r="AT737" s="125"/>
      <c r="AU737" s="126"/>
      <c r="AW737" s="127"/>
    </row>
    <row r="738" spans="16:49" ht="15.75" customHeight="1">
      <c r="P738" s="123"/>
      <c r="AJ738" s="124"/>
      <c r="AQ738" s="125"/>
      <c r="AR738" s="123"/>
      <c r="AS738" s="125"/>
      <c r="AT738" s="125"/>
      <c r="AU738" s="126"/>
      <c r="AW738" s="127"/>
    </row>
    <row r="739" spans="16:49" ht="15.75" customHeight="1">
      <c r="P739" s="123"/>
      <c r="AJ739" s="124"/>
      <c r="AQ739" s="125"/>
      <c r="AR739" s="123"/>
      <c r="AS739" s="125"/>
      <c r="AT739" s="125"/>
      <c r="AU739" s="126"/>
      <c r="AW739" s="127"/>
    </row>
    <row r="740" spans="16:49" ht="15.75" customHeight="1">
      <c r="P740" s="123"/>
      <c r="AJ740" s="124"/>
      <c r="AQ740" s="125"/>
      <c r="AR740" s="123"/>
      <c r="AS740" s="125"/>
      <c r="AT740" s="125"/>
      <c r="AU740" s="126"/>
      <c r="AW740" s="127"/>
    </row>
    <row r="741" spans="16:49" ht="15.75" customHeight="1">
      <c r="P741" s="123"/>
      <c r="AJ741" s="124"/>
      <c r="AQ741" s="125"/>
      <c r="AR741" s="123"/>
      <c r="AS741" s="125"/>
      <c r="AT741" s="125"/>
      <c r="AU741" s="126"/>
      <c r="AW741" s="127"/>
    </row>
    <row r="742" spans="16:49" ht="15.75" customHeight="1">
      <c r="P742" s="123"/>
      <c r="AJ742" s="124"/>
      <c r="AQ742" s="125"/>
      <c r="AR742" s="123"/>
      <c r="AS742" s="125"/>
      <c r="AT742" s="125"/>
      <c r="AU742" s="126"/>
      <c r="AW742" s="127"/>
    </row>
    <row r="743" spans="16:49" ht="15.75" customHeight="1">
      <c r="P743" s="123"/>
      <c r="AJ743" s="124"/>
      <c r="AQ743" s="125"/>
      <c r="AR743" s="123"/>
      <c r="AS743" s="125"/>
      <c r="AT743" s="125"/>
      <c r="AU743" s="126"/>
      <c r="AW743" s="127"/>
    </row>
    <row r="744" spans="16:49" ht="15.75" customHeight="1">
      <c r="P744" s="123"/>
      <c r="AJ744" s="124"/>
      <c r="AQ744" s="125"/>
      <c r="AR744" s="123"/>
      <c r="AS744" s="125"/>
      <c r="AT744" s="125"/>
      <c r="AU744" s="126"/>
      <c r="AW744" s="127"/>
    </row>
    <row r="745" spans="16:49" ht="15.75" customHeight="1">
      <c r="P745" s="123"/>
      <c r="AJ745" s="124"/>
      <c r="AQ745" s="125"/>
      <c r="AR745" s="123"/>
      <c r="AS745" s="125"/>
      <c r="AT745" s="125"/>
      <c r="AU745" s="126"/>
      <c r="AW745" s="127"/>
    </row>
    <row r="746" spans="16:49" ht="15.75" customHeight="1">
      <c r="P746" s="123"/>
      <c r="AJ746" s="124"/>
      <c r="AQ746" s="125"/>
      <c r="AR746" s="123"/>
      <c r="AS746" s="125"/>
      <c r="AT746" s="125"/>
      <c r="AU746" s="126"/>
      <c r="AW746" s="127"/>
    </row>
    <row r="747" spans="16:49" ht="15.75" customHeight="1">
      <c r="P747" s="123"/>
      <c r="AJ747" s="124"/>
      <c r="AQ747" s="125"/>
      <c r="AR747" s="123"/>
      <c r="AS747" s="125"/>
      <c r="AT747" s="125"/>
      <c r="AU747" s="126"/>
      <c r="AW747" s="127"/>
    </row>
    <row r="748" spans="16:49" ht="15.75" customHeight="1">
      <c r="P748" s="123"/>
      <c r="AJ748" s="124"/>
      <c r="AQ748" s="125"/>
      <c r="AR748" s="123"/>
      <c r="AS748" s="125"/>
      <c r="AT748" s="125"/>
      <c r="AU748" s="126"/>
      <c r="AW748" s="127"/>
    </row>
    <row r="749" spans="16:49" ht="15.75" customHeight="1">
      <c r="P749" s="123"/>
      <c r="AJ749" s="124"/>
      <c r="AQ749" s="125"/>
      <c r="AR749" s="123"/>
      <c r="AS749" s="125"/>
      <c r="AT749" s="125"/>
      <c r="AU749" s="126"/>
      <c r="AW749" s="127"/>
    </row>
    <row r="750" spans="16:49" ht="15.75" customHeight="1">
      <c r="P750" s="123"/>
      <c r="AJ750" s="124"/>
      <c r="AQ750" s="125"/>
      <c r="AR750" s="123"/>
      <c r="AS750" s="125"/>
      <c r="AT750" s="125"/>
      <c r="AU750" s="126"/>
      <c r="AW750" s="127"/>
    </row>
    <row r="751" spans="16:49" ht="15.75" customHeight="1">
      <c r="P751" s="123"/>
      <c r="AJ751" s="124"/>
      <c r="AQ751" s="125"/>
      <c r="AR751" s="123"/>
      <c r="AS751" s="125"/>
      <c r="AT751" s="125"/>
      <c r="AU751" s="126"/>
      <c r="AW751" s="127"/>
    </row>
    <row r="752" spans="16:49" ht="15.75" customHeight="1">
      <c r="P752" s="123"/>
      <c r="AJ752" s="124"/>
      <c r="AQ752" s="125"/>
      <c r="AR752" s="123"/>
      <c r="AS752" s="125"/>
      <c r="AT752" s="125"/>
      <c r="AU752" s="126"/>
      <c r="AW752" s="127"/>
    </row>
    <row r="753" spans="16:49" ht="15.75" customHeight="1">
      <c r="P753" s="123"/>
      <c r="AJ753" s="124"/>
      <c r="AQ753" s="125"/>
      <c r="AR753" s="123"/>
      <c r="AS753" s="125"/>
      <c r="AT753" s="125"/>
      <c r="AU753" s="126"/>
      <c r="AW753" s="127"/>
    </row>
    <row r="754" spans="16:49" ht="15.75" customHeight="1">
      <c r="P754" s="123"/>
      <c r="AJ754" s="124"/>
      <c r="AQ754" s="125"/>
      <c r="AR754" s="123"/>
      <c r="AS754" s="125"/>
      <c r="AT754" s="125"/>
      <c r="AU754" s="126"/>
      <c r="AW754" s="127"/>
    </row>
    <row r="755" spans="16:49" ht="15.75" customHeight="1">
      <c r="P755" s="123"/>
      <c r="AJ755" s="124"/>
      <c r="AQ755" s="125"/>
      <c r="AR755" s="123"/>
      <c r="AS755" s="125"/>
      <c r="AT755" s="125"/>
      <c r="AU755" s="126"/>
      <c r="AW755" s="127"/>
    </row>
    <row r="756" spans="16:49" ht="15.75" customHeight="1">
      <c r="P756" s="123"/>
      <c r="AJ756" s="124"/>
      <c r="AQ756" s="125"/>
      <c r="AR756" s="123"/>
      <c r="AS756" s="125"/>
      <c r="AT756" s="125"/>
      <c r="AU756" s="126"/>
      <c r="AW756" s="127"/>
    </row>
    <row r="757" spans="16:49" ht="15.75" customHeight="1">
      <c r="P757" s="123"/>
      <c r="AJ757" s="124"/>
      <c r="AQ757" s="125"/>
      <c r="AR757" s="123"/>
      <c r="AS757" s="125"/>
      <c r="AT757" s="125"/>
      <c r="AU757" s="126"/>
      <c r="AW757" s="127"/>
    </row>
    <row r="758" spans="16:49" ht="15.75" customHeight="1">
      <c r="P758" s="123"/>
      <c r="AJ758" s="124"/>
      <c r="AQ758" s="125"/>
      <c r="AR758" s="123"/>
      <c r="AS758" s="125"/>
      <c r="AT758" s="125"/>
      <c r="AU758" s="126"/>
      <c r="AW758" s="127"/>
    </row>
    <row r="759" spans="16:49" ht="15.75" customHeight="1">
      <c r="P759" s="123"/>
      <c r="AJ759" s="124"/>
      <c r="AQ759" s="125"/>
      <c r="AR759" s="123"/>
      <c r="AS759" s="125"/>
      <c r="AT759" s="125"/>
      <c r="AU759" s="126"/>
      <c r="AW759" s="127"/>
    </row>
    <row r="760" spans="16:49" ht="15.75" customHeight="1">
      <c r="P760" s="123"/>
      <c r="AJ760" s="124"/>
      <c r="AQ760" s="125"/>
      <c r="AR760" s="123"/>
      <c r="AS760" s="125"/>
      <c r="AT760" s="125"/>
      <c r="AU760" s="126"/>
      <c r="AW760" s="127"/>
    </row>
    <row r="761" spans="16:49" ht="15.75" customHeight="1">
      <c r="P761" s="123"/>
      <c r="AJ761" s="124"/>
      <c r="AQ761" s="125"/>
      <c r="AR761" s="123"/>
      <c r="AS761" s="125"/>
      <c r="AT761" s="125"/>
      <c r="AU761" s="126"/>
      <c r="AW761" s="127"/>
    </row>
    <row r="762" spans="16:49" ht="15.75" customHeight="1">
      <c r="P762" s="123"/>
      <c r="AJ762" s="124"/>
      <c r="AQ762" s="125"/>
      <c r="AR762" s="123"/>
      <c r="AS762" s="125"/>
      <c r="AT762" s="125"/>
      <c r="AU762" s="126"/>
      <c r="AW762" s="127"/>
    </row>
    <row r="763" spans="16:49" ht="15.75" customHeight="1">
      <c r="P763" s="123"/>
      <c r="AJ763" s="124"/>
      <c r="AQ763" s="125"/>
      <c r="AR763" s="123"/>
      <c r="AS763" s="125"/>
      <c r="AT763" s="125"/>
      <c r="AU763" s="126"/>
      <c r="AW763" s="127"/>
    </row>
    <row r="764" spans="16:49" ht="15.75" customHeight="1">
      <c r="P764" s="123"/>
      <c r="AJ764" s="124"/>
      <c r="AQ764" s="125"/>
      <c r="AR764" s="123"/>
      <c r="AS764" s="125"/>
      <c r="AT764" s="125"/>
      <c r="AU764" s="126"/>
      <c r="AW764" s="127"/>
    </row>
    <row r="765" spans="16:49" ht="15.75" customHeight="1">
      <c r="P765" s="123"/>
      <c r="AJ765" s="124"/>
      <c r="AQ765" s="125"/>
      <c r="AR765" s="123"/>
      <c r="AS765" s="125"/>
      <c r="AT765" s="125"/>
      <c r="AU765" s="126"/>
      <c r="AW765" s="127"/>
    </row>
    <row r="766" spans="16:49" ht="15.75" customHeight="1">
      <c r="P766" s="123"/>
      <c r="AJ766" s="124"/>
      <c r="AQ766" s="125"/>
      <c r="AR766" s="123"/>
      <c r="AS766" s="125"/>
      <c r="AT766" s="125"/>
      <c r="AU766" s="126"/>
      <c r="AW766" s="127"/>
    </row>
    <row r="767" spans="16:49" ht="15.75" customHeight="1">
      <c r="P767" s="123"/>
      <c r="AJ767" s="124"/>
      <c r="AQ767" s="125"/>
      <c r="AR767" s="123"/>
      <c r="AS767" s="125"/>
      <c r="AT767" s="125"/>
      <c r="AU767" s="126"/>
      <c r="AW767" s="127"/>
    </row>
    <row r="768" spans="16:49" ht="15.75" customHeight="1">
      <c r="P768" s="123"/>
      <c r="AJ768" s="124"/>
      <c r="AQ768" s="125"/>
      <c r="AR768" s="123"/>
      <c r="AS768" s="125"/>
      <c r="AT768" s="125"/>
      <c r="AU768" s="126"/>
      <c r="AW768" s="127"/>
    </row>
    <row r="769" spans="16:49" ht="15.75" customHeight="1">
      <c r="P769" s="123"/>
      <c r="AJ769" s="124"/>
      <c r="AQ769" s="125"/>
      <c r="AR769" s="123"/>
      <c r="AS769" s="125"/>
      <c r="AT769" s="125"/>
      <c r="AU769" s="126"/>
      <c r="AW769" s="127"/>
    </row>
    <row r="770" spans="16:49" ht="15.75" customHeight="1">
      <c r="P770" s="123"/>
      <c r="AJ770" s="124"/>
      <c r="AQ770" s="125"/>
      <c r="AR770" s="123"/>
      <c r="AS770" s="125"/>
      <c r="AT770" s="125"/>
      <c r="AU770" s="126"/>
      <c r="AW770" s="127"/>
    </row>
    <row r="771" spans="16:49" ht="15.75" customHeight="1">
      <c r="P771" s="123"/>
      <c r="AJ771" s="124"/>
      <c r="AQ771" s="125"/>
      <c r="AR771" s="123"/>
      <c r="AS771" s="125"/>
      <c r="AT771" s="125"/>
      <c r="AU771" s="126"/>
      <c r="AW771" s="127"/>
    </row>
    <row r="772" spans="16:49" ht="15.75" customHeight="1">
      <c r="P772" s="123"/>
      <c r="AJ772" s="124"/>
      <c r="AQ772" s="125"/>
      <c r="AR772" s="123"/>
      <c r="AS772" s="125"/>
      <c r="AT772" s="125"/>
      <c r="AU772" s="126"/>
      <c r="AW772" s="127"/>
    </row>
    <row r="773" spans="16:49" ht="15.75" customHeight="1">
      <c r="P773" s="123"/>
      <c r="AJ773" s="124"/>
      <c r="AQ773" s="125"/>
      <c r="AR773" s="123"/>
      <c r="AS773" s="125"/>
      <c r="AT773" s="125"/>
      <c r="AU773" s="126"/>
      <c r="AW773" s="127"/>
    </row>
    <row r="774" spans="16:49" ht="15.75" customHeight="1">
      <c r="P774" s="123"/>
      <c r="AJ774" s="124"/>
      <c r="AQ774" s="125"/>
      <c r="AR774" s="123"/>
      <c r="AS774" s="125"/>
      <c r="AT774" s="125"/>
      <c r="AU774" s="126"/>
      <c r="AW774" s="127"/>
    </row>
    <row r="775" spans="16:49" ht="15.75" customHeight="1">
      <c r="P775" s="123"/>
      <c r="AJ775" s="124"/>
      <c r="AQ775" s="125"/>
      <c r="AR775" s="123"/>
      <c r="AS775" s="125"/>
      <c r="AT775" s="125"/>
      <c r="AU775" s="126"/>
      <c r="AW775" s="127"/>
    </row>
    <row r="776" spans="16:49" ht="15.75" customHeight="1">
      <c r="P776" s="123"/>
      <c r="AJ776" s="124"/>
      <c r="AQ776" s="125"/>
      <c r="AR776" s="123"/>
      <c r="AS776" s="125"/>
      <c r="AT776" s="125"/>
      <c r="AU776" s="126"/>
      <c r="AW776" s="127"/>
    </row>
    <row r="777" spans="16:49" ht="15.75" customHeight="1">
      <c r="P777" s="123"/>
      <c r="AJ777" s="124"/>
      <c r="AQ777" s="125"/>
      <c r="AR777" s="123"/>
      <c r="AS777" s="125"/>
      <c r="AT777" s="125"/>
      <c r="AU777" s="126"/>
      <c r="AW777" s="127"/>
    </row>
    <row r="778" spans="16:49" ht="15.75" customHeight="1">
      <c r="P778" s="123"/>
      <c r="AJ778" s="124"/>
      <c r="AQ778" s="125"/>
      <c r="AR778" s="123"/>
      <c r="AS778" s="125"/>
      <c r="AT778" s="125"/>
      <c r="AU778" s="126"/>
      <c r="AW778" s="127"/>
    </row>
    <row r="779" spans="16:49" ht="15.75" customHeight="1">
      <c r="P779" s="123"/>
      <c r="AJ779" s="124"/>
      <c r="AQ779" s="125"/>
      <c r="AR779" s="123"/>
      <c r="AS779" s="125"/>
      <c r="AT779" s="125"/>
      <c r="AU779" s="126"/>
      <c r="AW779" s="127"/>
    </row>
    <row r="780" spans="16:49" ht="15.75" customHeight="1">
      <c r="P780" s="123"/>
      <c r="AJ780" s="124"/>
      <c r="AQ780" s="125"/>
      <c r="AR780" s="123"/>
      <c r="AS780" s="125"/>
      <c r="AT780" s="125"/>
      <c r="AU780" s="126"/>
      <c r="AW780" s="127"/>
    </row>
    <row r="781" spans="16:49" ht="15.75" customHeight="1">
      <c r="P781" s="123"/>
      <c r="AJ781" s="124"/>
      <c r="AQ781" s="125"/>
      <c r="AR781" s="123"/>
      <c r="AS781" s="125"/>
      <c r="AT781" s="125"/>
      <c r="AU781" s="126"/>
      <c r="AW781" s="127"/>
    </row>
    <row r="782" spans="16:49" ht="15.75" customHeight="1">
      <c r="P782" s="123"/>
      <c r="AJ782" s="124"/>
      <c r="AQ782" s="125"/>
      <c r="AR782" s="123"/>
      <c r="AS782" s="125"/>
      <c r="AT782" s="125"/>
      <c r="AU782" s="126"/>
      <c r="AW782" s="127"/>
    </row>
    <row r="783" spans="16:49" ht="15.75" customHeight="1">
      <c r="P783" s="123"/>
      <c r="AJ783" s="124"/>
      <c r="AQ783" s="125"/>
      <c r="AR783" s="123"/>
      <c r="AS783" s="125"/>
      <c r="AT783" s="125"/>
      <c r="AU783" s="126"/>
      <c r="AW783" s="127"/>
    </row>
    <row r="784" spans="16:49" ht="15.75" customHeight="1">
      <c r="P784" s="123"/>
      <c r="AJ784" s="124"/>
      <c r="AQ784" s="125"/>
      <c r="AR784" s="123"/>
      <c r="AS784" s="125"/>
      <c r="AT784" s="125"/>
      <c r="AU784" s="126"/>
      <c r="AW784" s="127"/>
    </row>
    <row r="785" spans="16:49" ht="15.75" customHeight="1">
      <c r="P785" s="123"/>
      <c r="AJ785" s="124"/>
      <c r="AQ785" s="125"/>
      <c r="AR785" s="123"/>
      <c r="AS785" s="125"/>
      <c r="AT785" s="125"/>
      <c r="AU785" s="126"/>
      <c r="AW785" s="127"/>
    </row>
    <row r="786" spans="16:49" ht="15.75" customHeight="1">
      <c r="P786" s="123"/>
      <c r="AJ786" s="124"/>
      <c r="AQ786" s="125"/>
      <c r="AR786" s="123"/>
      <c r="AS786" s="125"/>
      <c r="AT786" s="125"/>
      <c r="AU786" s="126"/>
      <c r="AW786" s="127"/>
    </row>
    <row r="787" spans="16:49" ht="15.75" customHeight="1">
      <c r="P787" s="123"/>
      <c r="AJ787" s="124"/>
      <c r="AQ787" s="125"/>
      <c r="AR787" s="123"/>
      <c r="AS787" s="125"/>
      <c r="AT787" s="125"/>
      <c r="AU787" s="126"/>
      <c r="AW787" s="127"/>
    </row>
    <row r="788" spans="16:49" ht="15.75" customHeight="1">
      <c r="P788" s="123"/>
      <c r="AJ788" s="124"/>
      <c r="AQ788" s="125"/>
      <c r="AR788" s="123"/>
      <c r="AS788" s="125"/>
      <c r="AT788" s="125"/>
      <c r="AU788" s="126"/>
      <c r="AW788" s="127"/>
    </row>
    <row r="789" spans="16:49" ht="15.75" customHeight="1">
      <c r="P789" s="123"/>
      <c r="AJ789" s="124"/>
      <c r="AQ789" s="125"/>
      <c r="AR789" s="123"/>
      <c r="AS789" s="125"/>
      <c r="AT789" s="125"/>
      <c r="AU789" s="126"/>
      <c r="AW789" s="127"/>
    </row>
    <row r="790" spans="16:49" ht="15.75" customHeight="1">
      <c r="P790" s="123"/>
      <c r="AJ790" s="124"/>
      <c r="AQ790" s="125"/>
      <c r="AR790" s="123"/>
      <c r="AS790" s="125"/>
      <c r="AT790" s="125"/>
      <c r="AU790" s="126"/>
      <c r="AW790" s="127"/>
    </row>
    <row r="791" spans="16:49" ht="15.75" customHeight="1">
      <c r="P791" s="123"/>
      <c r="AJ791" s="124"/>
      <c r="AQ791" s="125"/>
      <c r="AR791" s="123"/>
      <c r="AS791" s="125"/>
      <c r="AT791" s="125"/>
      <c r="AU791" s="126"/>
      <c r="AW791" s="127"/>
    </row>
    <row r="792" spans="16:49" ht="15.75" customHeight="1">
      <c r="P792" s="123"/>
      <c r="AJ792" s="124"/>
      <c r="AQ792" s="125"/>
      <c r="AR792" s="123"/>
      <c r="AS792" s="125"/>
      <c r="AT792" s="125"/>
      <c r="AU792" s="126"/>
      <c r="AW792" s="127"/>
    </row>
    <row r="793" spans="16:49" ht="15.75" customHeight="1">
      <c r="P793" s="123"/>
      <c r="AJ793" s="124"/>
      <c r="AQ793" s="125"/>
      <c r="AR793" s="123"/>
      <c r="AS793" s="125"/>
      <c r="AT793" s="125"/>
      <c r="AU793" s="126"/>
      <c r="AW793" s="127"/>
    </row>
    <row r="794" spans="16:49" ht="15.75" customHeight="1">
      <c r="P794" s="123"/>
      <c r="AJ794" s="124"/>
      <c r="AQ794" s="125"/>
      <c r="AR794" s="123"/>
      <c r="AS794" s="125"/>
      <c r="AT794" s="125"/>
      <c r="AU794" s="126"/>
      <c r="AW794" s="127"/>
    </row>
    <row r="795" spans="16:49" ht="15.75" customHeight="1">
      <c r="P795" s="123"/>
      <c r="AJ795" s="124"/>
      <c r="AQ795" s="125"/>
      <c r="AR795" s="123"/>
      <c r="AS795" s="125"/>
      <c r="AT795" s="125"/>
      <c r="AU795" s="126"/>
      <c r="AW795" s="127"/>
    </row>
    <row r="796" spans="16:49" ht="15.75" customHeight="1">
      <c r="P796" s="123"/>
      <c r="AJ796" s="124"/>
      <c r="AQ796" s="125"/>
      <c r="AR796" s="123"/>
      <c r="AS796" s="125"/>
      <c r="AT796" s="125"/>
      <c r="AU796" s="126"/>
      <c r="AW796" s="127"/>
    </row>
    <row r="797" spans="16:49" ht="15.75" customHeight="1">
      <c r="P797" s="123"/>
      <c r="AJ797" s="124"/>
      <c r="AQ797" s="125"/>
      <c r="AR797" s="123"/>
      <c r="AS797" s="125"/>
      <c r="AT797" s="125"/>
      <c r="AU797" s="126"/>
      <c r="AW797" s="127"/>
    </row>
    <row r="798" spans="16:49" ht="15.75" customHeight="1">
      <c r="P798" s="123"/>
      <c r="AJ798" s="124"/>
      <c r="AQ798" s="125"/>
      <c r="AR798" s="123"/>
      <c r="AS798" s="125"/>
      <c r="AT798" s="125"/>
      <c r="AU798" s="126"/>
      <c r="AW798" s="127"/>
    </row>
    <row r="799" spans="16:49" ht="15.75" customHeight="1">
      <c r="P799" s="123"/>
      <c r="AJ799" s="124"/>
      <c r="AQ799" s="125"/>
      <c r="AR799" s="123"/>
      <c r="AS799" s="125"/>
      <c r="AT799" s="125"/>
      <c r="AU799" s="126"/>
      <c r="AW799" s="127"/>
    </row>
    <row r="800" spans="16:49" ht="15.75" customHeight="1">
      <c r="P800" s="123"/>
      <c r="AJ800" s="124"/>
      <c r="AQ800" s="125"/>
      <c r="AR800" s="123"/>
      <c r="AS800" s="125"/>
      <c r="AT800" s="125"/>
      <c r="AU800" s="126"/>
      <c r="AW800" s="127"/>
    </row>
    <row r="801" spans="16:49" ht="15.75" customHeight="1">
      <c r="P801" s="123"/>
      <c r="AJ801" s="124"/>
      <c r="AQ801" s="125"/>
      <c r="AR801" s="123"/>
      <c r="AS801" s="125"/>
      <c r="AT801" s="125"/>
      <c r="AU801" s="126"/>
      <c r="AW801" s="127"/>
    </row>
    <row r="802" spans="16:49" ht="15.75" customHeight="1">
      <c r="P802" s="123"/>
      <c r="AJ802" s="124"/>
      <c r="AQ802" s="125"/>
      <c r="AR802" s="123"/>
      <c r="AS802" s="125"/>
      <c r="AT802" s="125"/>
      <c r="AU802" s="126"/>
      <c r="AW802" s="127"/>
    </row>
    <row r="803" spans="16:49" ht="15.75" customHeight="1">
      <c r="P803" s="123"/>
      <c r="AJ803" s="124"/>
      <c r="AQ803" s="125"/>
      <c r="AR803" s="123"/>
      <c r="AS803" s="125"/>
      <c r="AT803" s="125"/>
      <c r="AU803" s="126"/>
      <c r="AW803" s="127"/>
    </row>
    <row r="804" spans="16:49" ht="15.75" customHeight="1">
      <c r="P804" s="123"/>
      <c r="AJ804" s="124"/>
      <c r="AQ804" s="125"/>
      <c r="AR804" s="123"/>
      <c r="AS804" s="125"/>
      <c r="AT804" s="125"/>
      <c r="AU804" s="126"/>
      <c r="AW804" s="127"/>
    </row>
    <row r="805" spans="16:49" ht="15.75" customHeight="1">
      <c r="P805" s="123"/>
      <c r="AJ805" s="124"/>
      <c r="AQ805" s="125"/>
      <c r="AR805" s="123"/>
      <c r="AS805" s="125"/>
      <c r="AT805" s="125"/>
      <c r="AU805" s="126"/>
      <c r="AW805" s="127"/>
    </row>
    <row r="806" spans="16:49" ht="15.75" customHeight="1">
      <c r="P806" s="123"/>
      <c r="AJ806" s="124"/>
      <c r="AQ806" s="125"/>
      <c r="AR806" s="123"/>
      <c r="AS806" s="125"/>
      <c r="AT806" s="125"/>
      <c r="AU806" s="126"/>
      <c r="AW806" s="127"/>
    </row>
    <row r="807" spans="16:49" ht="15.75" customHeight="1">
      <c r="P807" s="123"/>
      <c r="AJ807" s="124"/>
      <c r="AQ807" s="125"/>
      <c r="AR807" s="123"/>
      <c r="AS807" s="125"/>
      <c r="AT807" s="125"/>
      <c r="AU807" s="126"/>
      <c r="AW807" s="127"/>
    </row>
    <row r="808" spans="16:49" ht="15.75" customHeight="1">
      <c r="P808" s="123"/>
      <c r="AJ808" s="124"/>
      <c r="AQ808" s="125"/>
      <c r="AR808" s="123"/>
      <c r="AS808" s="125"/>
      <c r="AT808" s="125"/>
      <c r="AU808" s="126"/>
      <c r="AW808" s="127"/>
    </row>
    <row r="809" spans="16:49" ht="15.75" customHeight="1">
      <c r="P809" s="123"/>
      <c r="AJ809" s="124"/>
      <c r="AQ809" s="125"/>
      <c r="AR809" s="123"/>
      <c r="AS809" s="125"/>
      <c r="AT809" s="125"/>
      <c r="AU809" s="126"/>
      <c r="AW809" s="127"/>
    </row>
    <row r="810" spans="16:49" ht="15.75" customHeight="1">
      <c r="P810" s="123"/>
      <c r="AJ810" s="124"/>
      <c r="AQ810" s="125"/>
      <c r="AR810" s="123"/>
      <c r="AS810" s="125"/>
      <c r="AT810" s="125"/>
      <c r="AU810" s="126"/>
      <c r="AW810" s="127"/>
    </row>
    <row r="811" spans="16:49" ht="15.75" customHeight="1">
      <c r="P811" s="123"/>
      <c r="AJ811" s="124"/>
      <c r="AQ811" s="125"/>
      <c r="AR811" s="123"/>
      <c r="AS811" s="125"/>
      <c r="AT811" s="125"/>
      <c r="AU811" s="126"/>
      <c r="AW811" s="127"/>
    </row>
    <row r="812" spans="16:49" ht="15.75" customHeight="1">
      <c r="P812" s="123"/>
      <c r="AJ812" s="124"/>
      <c r="AQ812" s="125"/>
      <c r="AR812" s="123"/>
      <c r="AS812" s="125"/>
      <c r="AT812" s="125"/>
      <c r="AU812" s="126"/>
      <c r="AW812" s="127"/>
    </row>
    <row r="813" spans="16:49" ht="15.75" customHeight="1">
      <c r="P813" s="123"/>
      <c r="AJ813" s="124"/>
      <c r="AQ813" s="125"/>
      <c r="AR813" s="123"/>
      <c r="AS813" s="125"/>
      <c r="AT813" s="125"/>
      <c r="AU813" s="126"/>
      <c r="AW813" s="127"/>
    </row>
    <row r="814" spans="16:49" ht="15.75" customHeight="1">
      <c r="P814" s="123"/>
      <c r="AJ814" s="124"/>
      <c r="AQ814" s="125"/>
      <c r="AR814" s="123"/>
      <c r="AS814" s="125"/>
      <c r="AT814" s="125"/>
      <c r="AU814" s="126"/>
      <c r="AW814" s="127"/>
    </row>
    <row r="815" spans="16:49" ht="15.75" customHeight="1">
      <c r="P815" s="123"/>
      <c r="AJ815" s="124"/>
      <c r="AQ815" s="125"/>
      <c r="AR815" s="123"/>
      <c r="AS815" s="125"/>
      <c r="AT815" s="125"/>
      <c r="AU815" s="126"/>
      <c r="AW815" s="127"/>
    </row>
    <row r="816" spans="16:49" ht="15.75" customHeight="1">
      <c r="P816" s="123"/>
      <c r="AJ816" s="124"/>
      <c r="AQ816" s="125"/>
      <c r="AR816" s="123"/>
      <c r="AS816" s="125"/>
      <c r="AT816" s="125"/>
      <c r="AU816" s="126"/>
      <c r="AW816" s="127"/>
    </row>
    <row r="817" spans="16:49" ht="15.75" customHeight="1">
      <c r="P817" s="123"/>
      <c r="AJ817" s="124"/>
      <c r="AQ817" s="125"/>
      <c r="AR817" s="123"/>
      <c r="AS817" s="125"/>
      <c r="AT817" s="125"/>
      <c r="AU817" s="126"/>
      <c r="AW817" s="127"/>
    </row>
    <row r="818" spans="16:49" ht="15.75" customHeight="1">
      <c r="P818" s="123"/>
      <c r="AJ818" s="124"/>
      <c r="AQ818" s="125"/>
      <c r="AR818" s="123"/>
      <c r="AS818" s="125"/>
      <c r="AT818" s="125"/>
      <c r="AU818" s="126"/>
      <c r="AW818" s="127"/>
    </row>
    <row r="819" spans="16:49" ht="15.75" customHeight="1">
      <c r="P819" s="123"/>
      <c r="AJ819" s="124"/>
      <c r="AQ819" s="125"/>
      <c r="AR819" s="123"/>
      <c r="AS819" s="125"/>
      <c r="AT819" s="125"/>
      <c r="AU819" s="126"/>
      <c r="AW819" s="127"/>
    </row>
    <row r="820" spans="16:49" ht="15.75" customHeight="1">
      <c r="P820" s="123"/>
      <c r="AJ820" s="124"/>
      <c r="AQ820" s="125"/>
      <c r="AR820" s="123"/>
      <c r="AS820" s="125"/>
      <c r="AT820" s="125"/>
      <c r="AU820" s="126"/>
      <c r="AW820" s="127"/>
    </row>
    <row r="821" spans="16:49" ht="15.75" customHeight="1">
      <c r="P821" s="123"/>
      <c r="AJ821" s="124"/>
      <c r="AQ821" s="125"/>
      <c r="AR821" s="123"/>
      <c r="AS821" s="125"/>
      <c r="AT821" s="125"/>
      <c r="AU821" s="126"/>
      <c r="AW821" s="127"/>
    </row>
    <row r="822" spans="16:49" ht="15.75" customHeight="1">
      <c r="P822" s="123"/>
      <c r="AJ822" s="124"/>
      <c r="AQ822" s="125"/>
      <c r="AR822" s="123"/>
      <c r="AS822" s="125"/>
      <c r="AT822" s="125"/>
      <c r="AU822" s="126"/>
      <c r="AW822" s="127"/>
    </row>
    <row r="823" spans="16:49" ht="15.75" customHeight="1">
      <c r="P823" s="123"/>
      <c r="AJ823" s="124"/>
      <c r="AQ823" s="125"/>
      <c r="AR823" s="123"/>
      <c r="AS823" s="125"/>
      <c r="AT823" s="125"/>
      <c r="AU823" s="126"/>
      <c r="AW823" s="127"/>
    </row>
    <row r="824" spans="16:49" ht="15.75" customHeight="1">
      <c r="P824" s="123"/>
      <c r="AJ824" s="124"/>
      <c r="AQ824" s="125"/>
      <c r="AR824" s="123"/>
      <c r="AS824" s="125"/>
      <c r="AT824" s="125"/>
      <c r="AU824" s="126"/>
      <c r="AW824" s="127"/>
    </row>
    <row r="825" spans="16:49" ht="15.75" customHeight="1">
      <c r="P825" s="123"/>
      <c r="AJ825" s="124"/>
      <c r="AQ825" s="125"/>
      <c r="AR825" s="123"/>
      <c r="AS825" s="125"/>
      <c r="AT825" s="125"/>
      <c r="AU825" s="126"/>
      <c r="AW825" s="127"/>
    </row>
    <row r="826" spans="16:49" ht="15.75" customHeight="1">
      <c r="P826" s="123"/>
      <c r="AJ826" s="124"/>
      <c r="AQ826" s="125"/>
      <c r="AR826" s="123"/>
      <c r="AS826" s="125"/>
      <c r="AT826" s="125"/>
      <c r="AU826" s="126"/>
      <c r="AW826" s="127"/>
    </row>
    <row r="827" spans="16:49" ht="15.75" customHeight="1">
      <c r="P827" s="123"/>
      <c r="AJ827" s="124"/>
      <c r="AQ827" s="125"/>
      <c r="AR827" s="123"/>
      <c r="AS827" s="125"/>
      <c r="AT827" s="125"/>
      <c r="AU827" s="126"/>
      <c r="AW827" s="127"/>
    </row>
    <row r="828" spans="16:49" ht="15.75" customHeight="1">
      <c r="P828" s="123"/>
      <c r="AJ828" s="124"/>
      <c r="AQ828" s="125"/>
      <c r="AR828" s="123"/>
      <c r="AS828" s="125"/>
      <c r="AT828" s="125"/>
      <c r="AU828" s="126"/>
      <c r="AW828" s="127"/>
    </row>
    <row r="829" spans="16:49" ht="15.75" customHeight="1">
      <c r="P829" s="123"/>
      <c r="AJ829" s="124"/>
      <c r="AQ829" s="125"/>
      <c r="AR829" s="123"/>
      <c r="AS829" s="125"/>
      <c r="AT829" s="125"/>
      <c r="AU829" s="126"/>
      <c r="AW829" s="127"/>
    </row>
    <row r="830" spans="16:49" ht="15.75" customHeight="1">
      <c r="P830" s="123"/>
      <c r="AJ830" s="124"/>
      <c r="AQ830" s="125"/>
      <c r="AR830" s="123"/>
      <c r="AS830" s="125"/>
      <c r="AT830" s="125"/>
      <c r="AU830" s="126"/>
      <c r="AW830" s="127"/>
    </row>
    <row r="831" spans="16:49" ht="15.75" customHeight="1">
      <c r="P831" s="123"/>
      <c r="AJ831" s="124"/>
      <c r="AQ831" s="125"/>
      <c r="AR831" s="123"/>
      <c r="AS831" s="125"/>
      <c r="AT831" s="125"/>
      <c r="AU831" s="126"/>
      <c r="AW831" s="127"/>
    </row>
    <row r="832" spans="16:49" ht="15.75" customHeight="1">
      <c r="P832" s="123"/>
      <c r="AJ832" s="124"/>
      <c r="AQ832" s="125"/>
      <c r="AR832" s="123"/>
      <c r="AS832" s="125"/>
      <c r="AT832" s="125"/>
      <c r="AU832" s="126"/>
      <c r="AW832" s="127"/>
    </row>
    <row r="833" spans="16:49" ht="15.75" customHeight="1">
      <c r="P833" s="123"/>
      <c r="AJ833" s="124"/>
      <c r="AQ833" s="125"/>
      <c r="AR833" s="123"/>
      <c r="AS833" s="125"/>
      <c r="AT833" s="125"/>
      <c r="AU833" s="126"/>
      <c r="AW833" s="127"/>
    </row>
    <row r="834" spans="16:49" ht="15.75" customHeight="1">
      <c r="P834" s="123"/>
      <c r="AJ834" s="124"/>
      <c r="AQ834" s="125"/>
      <c r="AR834" s="123"/>
      <c r="AS834" s="125"/>
      <c r="AT834" s="125"/>
      <c r="AU834" s="126"/>
      <c r="AW834" s="127"/>
    </row>
    <row r="835" spans="16:49" ht="15.75" customHeight="1">
      <c r="P835" s="123"/>
      <c r="AJ835" s="124"/>
      <c r="AQ835" s="125"/>
      <c r="AR835" s="123"/>
      <c r="AS835" s="125"/>
      <c r="AT835" s="125"/>
      <c r="AU835" s="126"/>
      <c r="AW835" s="127"/>
    </row>
    <row r="836" spans="16:49" ht="15.75" customHeight="1">
      <c r="P836" s="123"/>
      <c r="AJ836" s="124"/>
      <c r="AQ836" s="125"/>
      <c r="AR836" s="123"/>
      <c r="AS836" s="125"/>
      <c r="AT836" s="125"/>
      <c r="AU836" s="126"/>
      <c r="AW836" s="127"/>
    </row>
    <row r="837" spans="16:49" ht="15.75" customHeight="1">
      <c r="P837" s="123"/>
      <c r="AJ837" s="124"/>
      <c r="AQ837" s="125"/>
      <c r="AR837" s="123"/>
      <c r="AS837" s="125"/>
      <c r="AT837" s="125"/>
      <c r="AU837" s="126"/>
      <c r="AW837" s="127"/>
    </row>
    <row r="838" spans="16:49" ht="15.75" customHeight="1">
      <c r="P838" s="123"/>
      <c r="AJ838" s="124"/>
      <c r="AQ838" s="125"/>
      <c r="AR838" s="123"/>
      <c r="AS838" s="125"/>
      <c r="AT838" s="125"/>
      <c r="AU838" s="126"/>
      <c r="AW838" s="127"/>
    </row>
    <row r="839" spans="16:49" ht="15.75" customHeight="1">
      <c r="P839" s="123"/>
      <c r="AJ839" s="124"/>
      <c r="AQ839" s="125"/>
      <c r="AR839" s="123"/>
      <c r="AS839" s="125"/>
      <c r="AT839" s="125"/>
      <c r="AU839" s="126"/>
      <c r="AW839" s="127"/>
    </row>
    <row r="840" spans="16:49" ht="15.75" customHeight="1">
      <c r="P840" s="123"/>
      <c r="AJ840" s="124"/>
      <c r="AQ840" s="125"/>
      <c r="AR840" s="123"/>
      <c r="AS840" s="125"/>
      <c r="AT840" s="125"/>
      <c r="AU840" s="126"/>
      <c r="AW840" s="127"/>
    </row>
    <row r="841" spans="16:49" ht="15.75" customHeight="1">
      <c r="P841" s="123"/>
      <c r="AJ841" s="124"/>
      <c r="AQ841" s="125"/>
      <c r="AR841" s="123"/>
      <c r="AS841" s="125"/>
      <c r="AT841" s="125"/>
      <c r="AU841" s="126"/>
      <c r="AW841" s="127"/>
    </row>
    <row r="842" spans="16:49" ht="15.75" customHeight="1">
      <c r="P842" s="123"/>
      <c r="AJ842" s="124"/>
      <c r="AQ842" s="125"/>
      <c r="AR842" s="123"/>
      <c r="AS842" s="125"/>
      <c r="AT842" s="125"/>
      <c r="AU842" s="126"/>
      <c r="AW842" s="127"/>
    </row>
    <row r="843" spans="16:49" ht="15.75" customHeight="1">
      <c r="P843" s="123"/>
      <c r="AJ843" s="124"/>
      <c r="AQ843" s="125"/>
      <c r="AR843" s="123"/>
      <c r="AS843" s="125"/>
      <c r="AT843" s="125"/>
      <c r="AU843" s="126"/>
      <c r="AW843" s="127"/>
    </row>
    <row r="844" spans="16:49" ht="15.75" customHeight="1">
      <c r="P844" s="123"/>
      <c r="AJ844" s="124"/>
      <c r="AQ844" s="125"/>
      <c r="AR844" s="123"/>
      <c r="AS844" s="125"/>
      <c r="AT844" s="125"/>
      <c r="AU844" s="126"/>
      <c r="AW844" s="127"/>
    </row>
    <row r="845" spans="16:49" ht="15.75" customHeight="1">
      <c r="P845" s="123"/>
      <c r="AJ845" s="124"/>
      <c r="AQ845" s="125"/>
      <c r="AR845" s="123"/>
      <c r="AS845" s="125"/>
      <c r="AT845" s="125"/>
      <c r="AU845" s="126"/>
      <c r="AW845" s="127"/>
    </row>
    <row r="846" spans="16:49" ht="15.75" customHeight="1">
      <c r="P846" s="123"/>
      <c r="AJ846" s="124"/>
      <c r="AQ846" s="125"/>
      <c r="AR846" s="123"/>
      <c r="AS846" s="125"/>
      <c r="AT846" s="125"/>
      <c r="AU846" s="126"/>
      <c r="AW846" s="127"/>
    </row>
    <row r="847" spans="16:49" ht="15.75" customHeight="1">
      <c r="P847" s="123"/>
      <c r="AJ847" s="124"/>
      <c r="AQ847" s="125"/>
      <c r="AR847" s="123"/>
      <c r="AS847" s="125"/>
      <c r="AT847" s="125"/>
      <c r="AU847" s="126"/>
      <c r="AW847" s="127"/>
    </row>
    <row r="848" spans="16:49" ht="15.75" customHeight="1">
      <c r="P848" s="123"/>
      <c r="AJ848" s="124"/>
      <c r="AQ848" s="125"/>
      <c r="AR848" s="123"/>
      <c r="AS848" s="125"/>
      <c r="AT848" s="125"/>
      <c r="AU848" s="126"/>
      <c r="AW848" s="127"/>
    </row>
    <row r="849" spans="16:49" ht="15.75" customHeight="1">
      <c r="P849" s="123"/>
      <c r="AJ849" s="124"/>
      <c r="AQ849" s="125"/>
      <c r="AR849" s="123"/>
      <c r="AS849" s="125"/>
      <c r="AT849" s="125"/>
      <c r="AU849" s="126"/>
      <c r="AW849" s="127"/>
    </row>
    <row r="850" spans="16:49" ht="15.75" customHeight="1">
      <c r="P850" s="123"/>
      <c r="AJ850" s="124"/>
      <c r="AQ850" s="125"/>
      <c r="AR850" s="123"/>
      <c r="AS850" s="125"/>
      <c r="AT850" s="125"/>
      <c r="AU850" s="126"/>
      <c r="AW850" s="127"/>
    </row>
    <row r="851" spans="16:49" ht="15.75" customHeight="1">
      <c r="P851" s="123"/>
      <c r="AJ851" s="124"/>
      <c r="AQ851" s="125"/>
      <c r="AR851" s="123"/>
      <c r="AS851" s="125"/>
      <c r="AT851" s="125"/>
      <c r="AU851" s="126"/>
      <c r="AW851" s="127"/>
    </row>
    <row r="852" spans="16:49" ht="15.75" customHeight="1">
      <c r="P852" s="123"/>
      <c r="AJ852" s="124"/>
      <c r="AQ852" s="125"/>
      <c r="AR852" s="123"/>
      <c r="AS852" s="125"/>
      <c r="AT852" s="125"/>
      <c r="AU852" s="126"/>
      <c r="AW852" s="127"/>
    </row>
    <row r="853" spans="16:49" ht="15.75" customHeight="1">
      <c r="P853" s="123"/>
      <c r="AJ853" s="124"/>
      <c r="AQ853" s="125"/>
      <c r="AR853" s="123"/>
      <c r="AS853" s="125"/>
      <c r="AT853" s="125"/>
      <c r="AU853" s="126"/>
      <c r="AW853" s="127"/>
    </row>
    <row r="854" spans="16:49" ht="15.75" customHeight="1">
      <c r="P854" s="123"/>
      <c r="AJ854" s="124"/>
      <c r="AQ854" s="125"/>
      <c r="AR854" s="123"/>
      <c r="AS854" s="125"/>
      <c r="AT854" s="125"/>
      <c r="AU854" s="126"/>
      <c r="AW854" s="127"/>
    </row>
    <row r="855" spans="16:49" ht="15.75" customHeight="1">
      <c r="P855" s="123"/>
      <c r="AJ855" s="124"/>
      <c r="AQ855" s="125"/>
      <c r="AR855" s="123"/>
      <c r="AS855" s="125"/>
      <c r="AT855" s="125"/>
      <c r="AU855" s="126"/>
      <c r="AW855" s="127"/>
    </row>
    <row r="856" spans="16:49" ht="15.75" customHeight="1">
      <c r="P856" s="123"/>
      <c r="AJ856" s="124"/>
      <c r="AQ856" s="125"/>
      <c r="AR856" s="123"/>
      <c r="AS856" s="125"/>
      <c r="AT856" s="125"/>
      <c r="AU856" s="126"/>
      <c r="AW856" s="127"/>
    </row>
    <row r="857" spans="16:49" ht="15.75" customHeight="1">
      <c r="P857" s="123"/>
      <c r="AJ857" s="124"/>
      <c r="AQ857" s="125"/>
      <c r="AR857" s="123"/>
      <c r="AS857" s="125"/>
      <c r="AT857" s="125"/>
      <c r="AU857" s="126"/>
      <c r="AW857" s="127"/>
    </row>
    <row r="858" spans="16:49" ht="15.75" customHeight="1">
      <c r="P858" s="123"/>
      <c r="AJ858" s="124"/>
      <c r="AQ858" s="125"/>
      <c r="AR858" s="123"/>
      <c r="AS858" s="125"/>
      <c r="AT858" s="125"/>
      <c r="AU858" s="126"/>
      <c r="AW858" s="127"/>
    </row>
    <row r="859" spans="16:49" ht="15.75" customHeight="1">
      <c r="P859" s="123"/>
      <c r="AJ859" s="124"/>
      <c r="AQ859" s="125"/>
      <c r="AR859" s="123"/>
      <c r="AS859" s="125"/>
      <c r="AT859" s="125"/>
      <c r="AU859" s="126"/>
      <c r="AW859" s="127"/>
    </row>
    <row r="860" spans="16:49" ht="15.75" customHeight="1">
      <c r="P860" s="123"/>
      <c r="AJ860" s="124"/>
      <c r="AQ860" s="125"/>
      <c r="AR860" s="123"/>
      <c r="AS860" s="125"/>
      <c r="AT860" s="125"/>
      <c r="AU860" s="126"/>
      <c r="AW860" s="127"/>
    </row>
    <row r="861" spans="16:49" ht="15.75" customHeight="1">
      <c r="P861" s="123"/>
      <c r="AJ861" s="124"/>
      <c r="AQ861" s="125"/>
      <c r="AR861" s="123"/>
      <c r="AS861" s="125"/>
      <c r="AT861" s="125"/>
      <c r="AU861" s="126"/>
      <c r="AW861" s="127"/>
    </row>
    <row r="862" spans="16:49" ht="15.75" customHeight="1">
      <c r="P862" s="123"/>
      <c r="AJ862" s="124"/>
      <c r="AQ862" s="125"/>
      <c r="AR862" s="123"/>
      <c r="AS862" s="125"/>
      <c r="AT862" s="125"/>
      <c r="AU862" s="126"/>
      <c r="AW862" s="127"/>
    </row>
    <row r="863" spans="16:49" ht="15.75" customHeight="1">
      <c r="P863" s="123"/>
      <c r="AJ863" s="124"/>
      <c r="AQ863" s="125"/>
      <c r="AR863" s="123"/>
      <c r="AS863" s="125"/>
      <c r="AT863" s="125"/>
      <c r="AU863" s="126"/>
      <c r="AW863" s="127"/>
    </row>
    <row r="864" spans="16:49" ht="15.75" customHeight="1">
      <c r="P864" s="123"/>
      <c r="AJ864" s="124"/>
      <c r="AQ864" s="125"/>
      <c r="AR864" s="123"/>
      <c r="AS864" s="125"/>
      <c r="AT864" s="125"/>
      <c r="AU864" s="126"/>
      <c r="AW864" s="127"/>
    </row>
    <row r="865" spans="16:49" ht="15.75" customHeight="1">
      <c r="P865" s="123"/>
      <c r="AJ865" s="124"/>
      <c r="AQ865" s="125"/>
      <c r="AR865" s="123"/>
      <c r="AS865" s="125"/>
      <c r="AT865" s="125"/>
      <c r="AU865" s="126"/>
      <c r="AW865" s="127"/>
    </row>
    <row r="866" spans="16:49" ht="15.75" customHeight="1">
      <c r="P866" s="123"/>
      <c r="AJ866" s="124"/>
      <c r="AQ866" s="125"/>
      <c r="AR866" s="123"/>
      <c r="AS866" s="125"/>
      <c r="AT866" s="125"/>
      <c r="AU866" s="126"/>
      <c r="AW866" s="127"/>
    </row>
    <row r="867" spans="16:49" ht="15.75" customHeight="1">
      <c r="P867" s="123"/>
      <c r="AJ867" s="124"/>
      <c r="AQ867" s="125"/>
      <c r="AR867" s="123"/>
      <c r="AS867" s="125"/>
      <c r="AT867" s="125"/>
      <c r="AU867" s="126"/>
      <c r="AW867" s="127"/>
    </row>
    <row r="868" spans="16:49" ht="15.75" customHeight="1">
      <c r="P868" s="123"/>
      <c r="AJ868" s="124"/>
      <c r="AQ868" s="125"/>
      <c r="AR868" s="123"/>
      <c r="AS868" s="125"/>
      <c r="AT868" s="125"/>
      <c r="AU868" s="126"/>
      <c r="AW868" s="127"/>
    </row>
    <row r="869" spans="16:49" ht="15.75" customHeight="1">
      <c r="P869" s="123"/>
      <c r="AJ869" s="124"/>
      <c r="AQ869" s="125"/>
      <c r="AR869" s="123"/>
      <c r="AS869" s="125"/>
      <c r="AT869" s="125"/>
      <c r="AU869" s="126"/>
      <c r="AW869" s="127"/>
    </row>
    <row r="870" spans="16:49" ht="15.75" customHeight="1">
      <c r="P870" s="123"/>
      <c r="AJ870" s="124"/>
      <c r="AQ870" s="125"/>
      <c r="AR870" s="123"/>
      <c r="AS870" s="125"/>
      <c r="AT870" s="125"/>
      <c r="AU870" s="126"/>
      <c r="AW870" s="127"/>
    </row>
    <row r="871" spans="16:49" ht="15.75" customHeight="1">
      <c r="P871" s="123"/>
      <c r="AJ871" s="124"/>
      <c r="AQ871" s="125"/>
      <c r="AR871" s="123"/>
      <c r="AS871" s="125"/>
      <c r="AT871" s="125"/>
      <c r="AU871" s="126"/>
      <c r="AW871" s="127"/>
    </row>
    <row r="872" spans="16:49" ht="15.75" customHeight="1">
      <c r="P872" s="123"/>
      <c r="AJ872" s="124"/>
      <c r="AQ872" s="125"/>
      <c r="AR872" s="123"/>
      <c r="AS872" s="125"/>
      <c r="AT872" s="125"/>
      <c r="AU872" s="126"/>
      <c r="AW872" s="127"/>
    </row>
    <row r="873" spans="16:49" ht="15.75" customHeight="1">
      <c r="P873" s="123"/>
      <c r="AJ873" s="124"/>
      <c r="AQ873" s="125"/>
      <c r="AR873" s="123"/>
      <c r="AS873" s="125"/>
      <c r="AT873" s="125"/>
      <c r="AU873" s="126"/>
      <c r="AW873" s="127"/>
    </row>
    <row r="874" spans="16:49" ht="15.75" customHeight="1">
      <c r="P874" s="123"/>
      <c r="AJ874" s="124"/>
      <c r="AQ874" s="125"/>
      <c r="AR874" s="123"/>
      <c r="AS874" s="125"/>
      <c r="AT874" s="125"/>
      <c r="AU874" s="126"/>
      <c r="AW874" s="127"/>
    </row>
    <row r="875" spans="16:49" ht="15.75" customHeight="1">
      <c r="P875" s="123"/>
      <c r="AJ875" s="124"/>
      <c r="AQ875" s="125"/>
      <c r="AR875" s="123"/>
      <c r="AS875" s="125"/>
      <c r="AT875" s="125"/>
      <c r="AU875" s="126"/>
      <c r="AW875" s="127"/>
    </row>
    <row r="876" spans="16:49" ht="15.75" customHeight="1">
      <c r="P876" s="123"/>
      <c r="AJ876" s="124"/>
      <c r="AQ876" s="125"/>
      <c r="AR876" s="123"/>
      <c r="AS876" s="125"/>
      <c r="AT876" s="125"/>
      <c r="AU876" s="126"/>
      <c r="AW876" s="127"/>
    </row>
    <row r="877" spans="16:49" ht="15.75" customHeight="1">
      <c r="P877" s="123"/>
      <c r="AJ877" s="124"/>
      <c r="AQ877" s="125"/>
      <c r="AR877" s="123"/>
      <c r="AS877" s="125"/>
      <c r="AT877" s="125"/>
      <c r="AU877" s="126"/>
      <c r="AW877" s="127"/>
    </row>
    <row r="878" spans="16:49" ht="15.75" customHeight="1">
      <c r="P878" s="123"/>
      <c r="AJ878" s="124"/>
      <c r="AQ878" s="125"/>
      <c r="AR878" s="123"/>
      <c r="AS878" s="125"/>
      <c r="AT878" s="125"/>
      <c r="AU878" s="126"/>
      <c r="AW878" s="127"/>
    </row>
    <row r="879" spans="16:49" ht="15.75" customHeight="1">
      <c r="P879" s="123"/>
      <c r="AJ879" s="124"/>
      <c r="AQ879" s="125"/>
      <c r="AR879" s="123"/>
      <c r="AS879" s="125"/>
      <c r="AT879" s="125"/>
      <c r="AU879" s="126"/>
      <c r="AW879" s="127"/>
    </row>
    <row r="880" spans="16:49" ht="15.75" customHeight="1">
      <c r="P880" s="123"/>
      <c r="AJ880" s="124"/>
      <c r="AQ880" s="125"/>
      <c r="AR880" s="123"/>
      <c r="AS880" s="125"/>
      <c r="AT880" s="125"/>
      <c r="AU880" s="126"/>
      <c r="AW880" s="127"/>
    </row>
    <row r="881" spans="16:49" ht="15.75" customHeight="1">
      <c r="P881" s="123"/>
      <c r="AJ881" s="124"/>
      <c r="AQ881" s="125"/>
      <c r="AR881" s="123"/>
      <c r="AS881" s="125"/>
      <c r="AT881" s="125"/>
      <c r="AU881" s="126"/>
      <c r="AW881" s="127"/>
    </row>
    <row r="882" spans="16:49" ht="15.75" customHeight="1">
      <c r="P882" s="123"/>
      <c r="AJ882" s="124"/>
      <c r="AQ882" s="125"/>
      <c r="AR882" s="123"/>
      <c r="AS882" s="125"/>
      <c r="AT882" s="125"/>
      <c r="AU882" s="126"/>
      <c r="AW882" s="127"/>
    </row>
    <row r="883" spans="16:49" ht="15.75" customHeight="1">
      <c r="P883" s="123"/>
      <c r="AJ883" s="124"/>
      <c r="AQ883" s="125"/>
      <c r="AR883" s="123"/>
      <c r="AS883" s="125"/>
      <c r="AT883" s="125"/>
      <c r="AU883" s="126"/>
      <c r="AW883" s="127"/>
    </row>
    <row r="884" spans="16:49" ht="15.75" customHeight="1">
      <c r="P884" s="123"/>
      <c r="AJ884" s="124"/>
      <c r="AQ884" s="125"/>
      <c r="AR884" s="123"/>
      <c r="AS884" s="125"/>
      <c r="AT884" s="125"/>
      <c r="AU884" s="126"/>
      <c r="AW884" s="127"/>
    </row>
    <row r="885" spans="16:49" ht="15.75" customHeight="1">
      <c r="P885" s="123"/>
      <c r="AJ885" s="124"/>
      <c r="AQ885" s="125"/>
      <c r="AR885" s="123"/>
      <c r="AS885" s="125"/>
      <c r="AT885" s="125"/>
      <c r="AU885" s="126"/>
      <c r="AW885" s="127"/>
    </row>
    <row r="886" spans="16:49" ht="15.75" customHeight="1">
      <c r="P886" s="123"/>
      <c r="AJ886" s="124"/>
      <c r="AQ886" s="125"/>
      <c r="AR886" s="123"/>
      <c r="AS886" s="125"/>
      <c r="AT886" s="125"/>
      <c r="AU886" s="126"/>
      <c r="AW886" s="127"/>
    </row>
    <row r="887" spans="16:49" ht="15.75" customHeight="1">
      <c r="P887" s="123"/>
      <c r="AJ887" s="124"/>
      <c r="AQ887" s="125"/>
      <c r="AR887" s="123"/>
      <c r="AS887" s="125"/>
      <c r="AT887" s="125"/>
      <c r="AU887" s="126"/>
      <c r="AW887" s="127"/>
    </row>
    <row r="888" spans="16:49" ht="15.75" customHeight="1">
      <c r="P888" s="123"/>
      <c r="AJ888" s="124"/>
      <c r="AQ888" s="125"/>
      <c r="AR888" s="123"/>
      <c r="AS888" s="125"/>
      <c r="AT888" s="125"/>
      <c r="AU888" s="126"/>
      <c r="AW888" s="127"/>
    </row>
    <row r="889" spans="16:49" ht="15.75" customHeight="1">
      <c r="P889" s="123"/>
      <c r="AJ889" s="124"/>
      <c r="AQ889" s="125"/>
      <c r="AR889" s="123"/>
      <c r="AS889" s="125"/>
      <c r="AT889" s="125"/>
      <c r="AU889" s="126"/>
      <c r="AW889" s="127"/>
    </row>
    <row r="890" spans="16:49" ht="15.75" customHeight="1">
      <c r="P890" s="123"/>
      <c r="AJ890" s="124"/>
      <c r="AQ890" s="125"/>
      <c r="AR890" s="123"/>
      <c r="AS890" s="125"/>
      <c r="AT890" s="125"/>
      <c r="AU890" s="126"/>
      <c r="AW890" s="127"/>
    </row>
    <row r="891" spans="16:49" ht="15.75" customHeight="1">
      <c r="P891" s="123"/>
      <c r="AJ891" s="124"/>
      <c r="AQ891" s="125"/>
      <c r="AR891" s="123"/>
      <c r="AS891" s="125"/>
      <c r="AT891" s="125"/>
      <c r="AU891" s="126"/>
      <c r="AW891" s="127"/>
    </row>
    <row r="892" spans="16:49" ht="15.75" customHeight="1">
      <c r="P892" s="123"/>
      <c r="AJ892" s="124"/>
      <c r="AQ892" s="125"/>
      <c r="AR892" s="123"/>
      <c r="AS892" s="125"/>
      <c r="AT892" s="125"/>
      <c r="AU892" s="126"/>
      <c r="AW892" s="127"/>
    </row>
    <row r="893" spans="16:49" ht="15.75" customHeight="1">
      <c r="P893" s="123"/>
      <c r="AJ893" s="124"/>
      <c r="AQ893" s="125"/>
      <c r="AR893" s="123"/>
      <c r="AS893" s="125"/>
      <c r="AT893" s="125"/>
      <c r="AU893" s="126"/>
      <c r="AW893" s="127"/>
    </row>
    <row r="894" spans="16:49" ht="15.75" customHeight="1">
      <c r="P894" s="123"/>
      <c r="AJ894" s="124"/>
      <c r="AQ894" s="125"/>
      <c r="AR894" s="123"/>
      <c r="AS894" s="125"/>
      <c r="AT894" s="125"/>
      <c r="AU894" s="126"/>
      <c r="AW894" s="127"/>
    </row>
    <row r="895" spans="16:49" ht="15.75" customHeight="1">
      <c r="P895" s="123"/>
      <c r="AJ895" s="124"/>
      <c r="AQ895" s="125"/>
      <c r="AR895" s="123"/>
      <c r="AS895" s="125"/>
      <c r="AT895" s="125"/>
      <c r="AU895" s="126"/>
      <c r="AW895" s="127"/>
    </row>
    <row r="896" spans="16:49" ht="15.75" customHeight="1">
      <c r="P896" s="123"/>
      <c r="AJ896" s="124"/>
      <c r="AQ896" s="125"/>
      <c r="AR896" s="123"/>
      <c r="AS896" s="125"/>
      <c r="AT896" s="125"/>
      <c r="AU896" s="126"/>
      <c r="AW896" s="127"/>
    </row>
    <row r="897" spans="16:49" ht="15.75" customHeight="1">
      <c r="P897" s="123"/>
      <c r="AJ897" s="124"/>
      <c r="AQ897" s="125"/>
      <c r="AR897" s="123"/>
      <c r="AS897" s="125"/>
      <c r="AT897" s="125"/>
      <c r="AU897" s="126"/>
      <c r="AW897" s="127"/>
    </row>
    <row r="898" spans="16:49" ht="15.75" customHeight="1">
      <c r="P898" s="123"/>
      <c r="AJ898" s="124"/>
      <c r="AQ898" s="125"/>
      <c r="AR898" s="123"/>
      <c r="AS898" s="125"/>
      <c r="AT898" s="125"/>
      <c r="AU898" s="126"/>
      <c r="AW898" s="127"/>
    </row>
    <row r="899" spans="16:49" ht="15.75" customHeight="1">
      <c r="P899" s="123"/>
      <c r="AJ899" s="124"/>
      <c r="AQ899" s="125"/>
      <c r="AR899" s="123"/>
      <c r="AS899" s="125"/>
      <c r="AT899" s="125"/>
      <c r="AU899" s="126"/>
      <c r="AW899" s="127"/>
    </row>
    <row r="900" spans="16:49" ht="15.75" customHeight="1">
      <c r="P900" s="123"/>
      <c r="AJ900" s="124"/>
      <c r="AQ900" s="125"/>
      <c r="AR900" s="123"/>
      <c r="AS900" s="125"/>
      <c r="AT900" s="125"/>
      <c r="AU900" s="126"/>
      <c r="AW900" s="127"/>
    </row>
    <row r="901" spans="16:49" ht="15.75" customHeight="1">
      <c r="P901" s="123"/>
      <c r="AJ901" s="124"/>
      <c r="AQ901" s="125"/>
      <c r="AR901" s="123"/>
      <c r="AS901" s="125"/>
      <c r="AT901" s="125"/>
      <c r="AU901" s="126"/>
      <c r="AW901" s="127"/>
    </row>
    <row r="902" spans="16:49" ht="15.75" customHeight="1">
      <c r="P902" s="123"/>
      <c r="AJ902" s="124"/>
      <c r="AQ902" s="125"/>
      <c r="AR902" s="123"/>
      <c r="AS902" s="125"/>
      <c r="AT902" s="125"/>
      <c r="AU902" s="126"/>
      <c r="AW902" s="127"/>
    </row>
    <row r="903" spans="16:49" ht="15.75" customHeight="1">
      <c r="P903" s="123"/>
      <c r="AJ903" s="124"/>
      <c r="AQ903" s="125"/>
      <c r="AR903" s="123"/>
      <c r="AS903" s="125"/>
      <c r="AT903" s="125"/>
      <c r="AU903" s="126"/>
      <c r="AW903" s="127"/>
    </row>
    <row r="904" spans="16:49" ht="15.75" customHeight="1">
      <c r="P904" s="123"/>
      <c r="AJ904" s="124"/>
      <c r="AQ904" s="125"/>
      <c r="AR904" s="123"/>
      <c r="AS904" s="125"/>
      <c r="AT904" s="125"/>
      <c r="AU904" s="126"/>
      <c r="AW904" s="127"/>
    </row>
    <row r="905" spans="16:49" ht="15.75" customHeight="1">
      <c r="P905" s="123"/>
      <c r="AJ905" s="124"/>
      <c r="AQ905" s="125"/>
      <c r="AR905" s="123"/>
      <c r="AS905" s="125"/>
      <c r="AT905" s="125"/>
      <c r="AU905" s="126"/>
      <c r="AW905" s="127"/>
    </row>
    <row r="906" spans="16:49" ht="15.75" customHeight="1">
      <c r="P906" s="123"/>
      <c r="AJ906" s="124"/>
      <c r="AQ906" s="125"/>
      <c r="AR906" s="123"/>
      <c r="AS906" s="125"/>
      <c r="AT906" s="125"/>
      <c r="AU906" s="126"/>
      <c r="AW906" s="127"/>
    </row>
    <row r="907" spans="16:49" ht="15.75" customHeight="1">
      <c r="P907" s="123"/>
      <c r="AJ907" s="124"/>
      <c r="AQ907" s="125"/>
      <c r="AR907" s="123"/>
      <c r="AS907" s="125"/>
      <c r="AT907" s="125"/>
      <c r="AU907" s="126"/>
      <c r="AW907" s="127"/>
    </row>
    <row r="908" spans="16:49" ht="15.75" customHeight="1">
      <c r="P908" s="123"/>
      <c r="AJ908" s="124"/>
      <c r="AQ908" s="125"/>
      <c r="AR908" s="123"/>
      <c r="AS908" s="125"/>
      <c r="AT908" s="125"/>
      <c r="AU908" s="126"/>
      <c r="AW908" s="127"/>
    </row>
    <row r="909" spans="16:49" ht="15.75" customHeight="1">
      <c r="P909" s="123"/>
      <c r="AJ909" s="124"/>
      <c r="AQ909" s="125"/>
      <c r="AR909" s="123"/>
      <c r="AS909" s="125"/>
      <c r="AT909" s="125"/>
      <c r="AU909" s="126"/>
      <c r="AW909" s="127"/>
    </row>
    <row r="910" spans="16:49" ht="15.75" customHeight="1">
      <c r="P910" s="123"/>
      <c r="AJ910" s="124"/>
      <c r="AQ910" s="125"/>
      <c r="AR910" s="123"/>
      <c r="AS910" s="125"/>
      <c r="AT910" s="125"/>
      <c r="AU910" s="126"/>
      <c r="AW910" s="127"/>
    </row>
    <row r="911" spans="16:49" ht="15.75" customHeight="1">
      <c r="P911" s="123"/>
      <c r="AJ911" s="124"/>
      <c r="AQ911" s="125"/>
      <c r="AR911" s="123"/>
      <c r="AS911" s="125"/>
      <c r="AT911" s="125"/>
      <c r="AU911" s="126"/>
      <c r="AW911" s="127"/>
    </row>
    <row r="912" spans="16:49" ht="15.75" customHeight="1">
      <c r="P912" s="123"/>
      <c r="AJ912" s="124"/>
      <c r="AQ912" s="125"/>
      <c r="AR912" s="123"/>
      <c r="AS912" s="125"/>
      <c r="AT912" s="125"/>
      <c r="AU912" s="126"/>
      <c r="AW912" s="127"/>
    </row>
    <row r="913" spans="16:49" ht="15.75" customHeight="1">
      <c r="P913" s="123"/>
      <c r="AJ913" s="124"/>
      <c r="AQ913" s="125"/>
      <c r="AR913" s="123"/>
      <c r="AS913" s="125"/>
      <c r="AT913" s="125"/>
      <c r="AU913" s="126"/>
      <c r="AW913" s="127"/>
    </row>
    <row r="914" spans="16:49" ht="15.75" customHeight="1">
      <c r="P914" s="123"/>
      <c r="AJ914" s="124"/>
      <c r="AQ914" s="125"/>
      <c r="AR914" s="123"/>
      <c r="AS914" s="125"/>
      <c r="AT914" s="125"/>
      <c r="AU914" s="126"/>
      <c r="AW914" s="127"/>
    </row>
    <row r="915" spans="16:49" ht="15.75" customHeight="1">
      <c r="P915" s="123"/>
      <c r="AJ915" s="124"/>
      <c r="AQ915" s="125"/>
      <c r="AR915" s="123"/>
      <c r="AS915" s="125"/>
      <c r="AT915" s="125"/>
      <c r="AU915" s="126"/>
      <c r="AW915" s="127"/>
    </row>
    <row r="916" spans="16:49" ht="15.75" customHeight="1">
      <c r="P916" s="123"/>
      <c r="AJ916" s="124"/>
      <c r="AQ916" s="125"/>
      <c r="AR916" s="123"/>
      <c r="AS916" s="125"/>
      <c r="AT916" s="125"/>
      <c r="AU916" s="126"/>
      <c r="AW916" s="127"/>
    </row>
    <row r="917" spans="16:49" ht="15.75" customHeight="1">
      <c r="P917" s="123"/>
      <c r="AJ917" s="124"/>
      <c r="AQ917" s="125"/>
      <c r="AR917" s="123"/>
      <c r="AS917" s="125"/>
      <c r="AT917" s="125"/>
      <c r="AU917" s="126"/>
      <c r="AW917" s="127"/>
    </row>
    <row r="918" spans="16:49" ht="15.75" customHeight="1">
      <c r="P918" s="123"/>
      <c r="AJ918" s="124"/>
      <c r="AQ918" s="125"/>
      <c r="AR918" s="123"/>
      <c r="AS918" s="125"/>
      <c r="AT918" s="125"/>
      <c r="AU918" s="126"/>
      <c r="AW918" s="127"/>
    </row>
    <row r="919" spans="16:49" ht="15.75" customHeight="1">
      <c r="P919" s="123"/>
      <c r="AJ919" s="124"/>
      <c r="AQ919" s="125"/>
      <c r="AR919" s="123"/>
      <c r="AS919" s="125"/>
      <c r="AT919" s="125"/>
      <c r="AU919" s="126"/>
      <c r="AW919" s="127"/>
    </row>
    <row r="920" spans="16:49" ht="15.75" customHeight="1">
      <c r="P920" s="123"/>
      <c r="AJ920" s="124"/>
      <c r="AQ920" s="125"/>
      <c r="AR920" s="123"/>
      <c r="AS920" s="125"/>
      <c r="AT920" s="125"/>
      <c r="AU920" s="126"/>
      <c r="AW920" s="127"/>
    </row>
    <row r="921" spans="16:49" ht="15.75" customHeight="1">
      <c r="P921" s="123"/>
      <c r="AJ921" s="124"/>
      <c r="AQ921" s="125"/>
      <c r="AR921" s="123"/>
      <c r="AS921" s="125"/>
      <c r="AT921" s="125"/>
      <c r="AU921" s="126"/>
      <c r="AW921" s="127"/>
    </row>
    <row r="922" spans="16:49" ht="15.75" customHeight="1">
      <c r="P922" s="123"/>
      <c r="AJ922" s="124"/>
      <c r="AQ922" s="125"/>
      <c r="AR922" s="123"/>
      <c r="AS922" s="125"/>
      <c r="AT922" s="125"/>
      <c r="AU922" s="126"/>
      <c r="AW922" s="127"/>
    </row>
    <row r="923" spans="16:49" ht="15.75" customHeight="1">
      <c r="P923" s="123"/>
      <c r="AJ923" s="124"/>
      <c r="AQ923" s="125"/>
      <c r="AR923" s="123"/>
      <c r="AS923" s="125"/>
      <c r="AT923" s="125"/>
      <c r="AU923" s="126"/>
      <c r="AW923" s="127"/>
    </row>
    <row r="924" spans="16:49" ht="15.75" customHeight="1">
      <c r="P924" s="123"/>
      <c r="AJ924" s="124"/>
      <c r="AQ924" s="125"/>
      <c r="AR924" s="123"/>
      <c r="AS924" s="125"/>
      <c r="AT924" s="125"/>
      <c r="AU924" s="126"/>
      <c r="AW924" s="127"/>
    </row>
    <row r="925" spans="16:49" ht="15.75" customHeight="1">
      <c r="P925" s="123"/>
      <c r="AJ925" s="124"/>
      <c r="AQ925" s="125"/>
      <c r="AR925" s="123"/>
      <c r="AS925" s="125"/>
      <c r="AT925" s="125"/>
      <c r="AU925" s="126"/>
      <c r="AW925" s="127"/>
    </row>
    <row r="926" spans="16:49" ht="15.75" customHeight="1">
      <c r="P926" s="123"/>
      <c r="AJ926" s="124"/>
      <c r="AQ926" s="125"/>
      <c r="AR926" s="123"/>
      <c r="AS926" s="125"/>
      <c r="AT926" s="125"/>
      <c r="AU926" s="126"/>
      <c r="AW926" s="127"/>
    </row>
    <row r="927" spans="16:49" ht="15.75" customHeight="1">
      <c r="P927" s="123"/>
      <c r="AJ927" s="124"/>
      <c r="AQ927" s="125"/>
      <c r="AR927" s="123"/>
      <c r="AS927" s="125"/>
      <c r="AT927" s="125"/>
      <c r="AU927" s="126"/>
      <c r="AW927" s="127"/>
    </row>
    <row r="928" spans="16:49" ht="15.75" customHeight="1">
      <c r="P928" s="123"/>
      <c r="AJ928" s="124"/>
      <c r="AQ928" s="125"/>
      <c r="AR928" s="123"/>
      <c r="AS928" s="125"/>
      <c r="AT928" s="125"/>
      <c r="AU928" s="126"/>
      <c r="AW928" s="127"/>
    </row>
    <row r="929" spans="16:49" ht="15.75" customHeight="1">
      <c r="P929" s="123"/>
      <c r="AJ929" s="124"/>
      <c r="AQ929" s="125"/>
      <c r="AR929" s="123"/>
      <c r="AS929" s="125"/>
      <c r="AT929" s="125"/>
      <c r="AU929" s="126"/>
      <c r="AW929" s="127"/>
    </row>
    <row r="930" spans="16:49" ht="15.75" customHeight="1">
      <c r="P930" s="123"/>
      <c r="AJ930" s="124"/>
      <c r="AQ930" s="125"/>
      <c r="AR930" s="123"/>
      <c r="AS930" s="125"/>
      <c r="AT930" s="125"/>
      <c r="AU930" s="126"/>
      <c r="AW930" s="127"/>
    </row>
    <row r="931" spans="16:49" ht="15.75" customHeight="1">
      <c r="P931" s="123"/>
      <c r="AJ931" s="124"/>
      <c r="AQ931" s="125"/>
      <c r="AR931" s="123"/>
      <c r="AS931" s="125"/>
      <c r="AT931" s="125"/>
      <c r="AU931" s="126"/>
      <c r="AW931" s="127"/>
    </row>
    <row r="932" spans="16:49" ht="15.75" customHeight="1">
      <c r="P932" s="123"/>
      <c r="AJ932" s="124"/>
      <c r="AQ932" s="125"/>
      <c r="AR932" s="123"/>
      <c r="AS932" s="125"/>
      <c r="AT932" s="125"/>
      <c r="AU932" s="126"/>
      <c r="AW932" s="127"/>
    </row>
    <row r="933" spans="16:49" ht="15.75" customHeight="1">
      <c r="P933" s="123"/>
      <c r="AJ933" s="124"/>
      <c r="AQ933" s="125"/>
      <c r="AR933" s="123"/>
      <c r="AS933" s="125"/>
      <c r="AT933" s="125"/>
      <c r="AU933" s="126"/>
      <c r="AW933" s="127"/>
    </row>
    <row r="934" spans="16:49" ht="15.75" customHeight="1">
      <c r="P934" s="123"/>
      <c r="AJ934" s="124"/>
      <c r="AQ934" s="125"/>
      <c r="AR934" s="123"/>
      <c r="AS934" s="125"/>
      <c r="AT934" s="125"/>
      <c r="AU934" s="126"/>
      <c r="AW934" s="127"/>
    </row>
    <row r="935" spans="16:49" ht="15.75" customHeight="1">
      <c r="P935" s="123"/>
      <c r="AJ935" s="124"/>
      <c r="AQ935" s="125"/>
      <c r="AR935" s="123"/>
      <c r="AS935" s="125"/>
      <c r="AT935" s="125"/>
      <c r="AU935" s="126"/>
      <c r="AW935" s="127"/>
    </row>
    <row r="936" spans="16:49" ht="15.75" customHeight="1">
      <c r="P936" s="123"/>
      <c r="AJ936" s="124"/>
      <c r="AQ936" s="125"/>
      <c r="AR936" s="123"/>
      <c r="AS936" s="125"/>
      <c r="AT936" s="125"/>
      <c r="AU936" s="126"/>
      <c r="AW936" s="127"/>
    </row>
    <row r="937" spans="16:49" ht="15.75" customHeight="1">
      <c r="P937" s="123"/>
      <c r="AJ937" s="124"/>
      <c r="AQ937" s="125"/>
      <c r="AR937" s="123"/>
      <c r="AS937" s="125"/>
      <c r="AT937" s="125"/>
      <c r="AU937" s="126"/>
      <c r="AW937" s="127"/>
    </row>
    <row r="938" spans="16:49" ht="15.75" customHeight="1">
      <c r="P938" s="123"/>
      <c r="AJ938" s="124"/>
      <c r="AQ938" s="125"/>
      <c r="AR938" s="123"/>
      <c r="AS938" s="125"/>
      <c r="AT938" s="125"/>
      <c r="AU938" s="126"/>
      <c r="AW938" s="127"/>
    </row>
    <row r="939" spans="16:49" ht="15.75" customHeight="1">
      <c r="P939" s="123"/>
      <c r="AJ939" s="124"/>
      <c r="AQ939" s="125"/>
      <c r="AR939" s="123"/>
      <c r="AS939" s="125"/>
      <c r="AT939" s="125"/>
      <c r="AU939" s="126"/>
      <c r="AW939" s="127"/>
    </row>
    <row r="940" spans="16:49" ht="15.75" customHeight="1">
      <c r="P940" s="123"/>
      <c r="AJ940" s="124"/>
      <c r="AQ940" s="125"/>
      <c r="AR940" s="123"/>
      <c r="AS940" s="125"/>
      <c r="AT940" s="125"/>
      <c r="AU940" s="126"/>
      <c r="AW940" s="127"/>
    </row>
    <row r="941" spans="16:49" ht="15.75" customHeight="1">
      <c r="P941" s="123"/>
      <c r="AJ941" s="124"/>
      <c r="AQ941" s="125"/>
      <c r="AR941" s="123"/>
      <c r="AS941" s="125"/>
      <c r="AT941" s="125"/>
      <c r="AU941" s="126"/>
      <c r="AW941" s="127"/>
    </row>
    <row r="942" spans="16:49" ht="15.75" customHeight="1">
      <c r="P942" s="123"/>
      <c r="AJ942" s="124"/>
      <c r="AQ942" s="125"/>
      <c r="AR942" s="123"/>
      <c r="AS942" s="125"/>
      <c r="AT942" s="125"/>
      <c r="AU942" s="126"/>
      <c r="AW942" s="127"/>
    </row>
    <row r="943" spans="16:49" ht="15.75" customHeight="1">
      <c r="P943" s="123"/>
      <c r="AJ943" s="124"/>
      <c r="AQ943" s="125"/>
      <c r="AR943" s="123"/>
      <c r="AS943" s="125"/>
      <c r="AT943" s="125"/>
      <c r="AU943" s="126"/>
      <c r="AW943" s="127"/>
    </row>
    <row r="944" spans="16:49" ht="15.75" customHeight="1">
      <c r="P944" s="123"/>
      <c r="AJ944" s="124"/>
      <c r="AQ944" s="125"/>
      <c r="AR944" s="123"/>
      <c r="AS944" s="125"/>
      <c r="AT944" s="125"/>
      <c r="AU944" s="126"/>
      <c r="AW944" s="127"/>
    </row>
    <row r="945" spans="16:49" ht="15.75" customHeight="1">
      <c r="P945" s="123"/>
      <c r="AJ945" s="124"/>
      <c r="AQ945" s="125"/>
      <c r="AR945" s="123"/>
      <c r="AS945" s="125"/>
      <c r="AT945" s="125"/>
      <c r="AU945" s="126"/>
      <c r="AW945" s="127"/>
    </row>
    <row r="946" spans="16:49" ht="15.75" customHeight="1">
      <c r="P946" s="123"/>
      <c r="AJ946" s="124"/>
      <c r="AQ946" s="125"/>
      <c r="AR946" s="123"/>
      <c r="AS946" s="125"/>
      <c r="AT946" s="125"/>
      <c r="AU946" s="126"/>
      <c r="AW946" s="127"/>
    </row>
    <row r="947" spans="16:49" ht="15.75" customHeight="1">
      <c r="P947" s="123"/>
      <c r="AJ947" s="124"/>
      <c r="AQ947" s="125"/>
      <c r="AR947" s="123"/>
      <c r="AS947" s="125"/>
      <c r="AT947" s="125"/>
      <c r="AU947" s="126"/>
      <c r="AW947" s="127"/>
    </row>
    <row r="948" spans="16:49" ht="15.75" customHeight="1">
      <c r="P948" s="123"/>
      <c r="AJ948" s="124"/>
      <c r="AQ948" s="125"/>
      <c r="AR948" s="123"/>
      <c r="AS948" s="125"/>
      <c r="AT948" s="125"/>
      <c r="AU948" s="126"/>
      <c r="AW948" s="127"/>
    </row>
    <row r="949" spans="16:49" ht="15.75" customHeight="1">
      <c r="P949" s="123"/>
      <c r="AJ949" s="124"/>
      <c r="AQ949" s="125"/>
      <c r="AR949" s="123"/>
      <c r="AS949" s="125"/>
      <c r="AT949" s="125"/>
      <c r="AU949" s="126"/>
      <c r="AW949" s="127"/>
    </row>
    <row r="950" spans="16:49" ht="15.75" customHeight="1">
      <c r="P950" s="123"/>
      <c r="AJ950" s="124"/>
      <c r="AQ950" s="125"/>
      <c r="AR950" s="123"/>
      <c r="AS950" s="125"/>
      <c r="AT950" s="125"/>
      <c r="AU950" s="126"/>
      <c r="AW950" s="127"/>
    </row>
    <row r="951" spans="16:49" ht="15.75" customHeight="1">
      <c r="P951" s="123"/>
      <c r="AJ951" s="124"/>
      <c r="AQ951" s="125"/>
      <c r="AR951" s="123"/>
      <c r="AS951" s="125"/>
      <c r="AT951" s="125"/>
      <c r="AU951" s="126"/>
      <c r="AW951" s="127"/>
    </row>
    <row r="952" spans="16:49" ht="15.75" customHeight="1">
      <c r="P952" s="123"/>
      <c r="AJ952" s="124"/>
      <c r="AQ952" s="125"/>
      <c r="AR952" s="123"/>
      <c r="AS952" s="125"/>
      <c r="AT952" s="125"/>
      <c r="AU952" s="126"/>
      <c r="AW952" s="127"/>
    </row>
    <row r="953" spans="16:49" ht="15.75" customHeight="1">
      <c r="P953" s="123"/>
      <c r="AJ953" s="124"/>
      <c r="AQ953" s="125"/>
      <c r="AR953" s="123"/>
      <c r="AS953" s="125"/>
      <c r="AT953" s="125"/>
      <c r="AU953" s="126"/>
      <c r="AW953" s="127"/>
    </row>
    <row r="954" spans="16:49" ht="15.75" customHeight="1">
      <c r="P954" s="123"/>
      <c r="AJ954" s="124"/>
      <c r="AQ954" s="125"/>
      <c r="AR954" s="123"/>
      <c r="AS954" s="125"/>
      <c r="AT954" s="125"/>
      <c r="AU954" s="126"/>
      <c r="AW954" s="127"/>
    </row>
    <row r="955" spans="16:49" ht="15.75" customHeight="1">
      <c r="P955" s="123"/>
      <c r="AJ955" s="124"/>
      <c r="AQ955" s="125"/>
      <c r="AR955" s="123"/>
      <c r="AS955" s="125"/>
      <c r="AT955" s="125"/>
      <c r="AU955" s="126"/>
      <c r="AW955" s="127"/>
    </row>
    <row r="956" spans="16:49" ht="15.75" customHeight="1">
      <c r="P956" s="123"/>
      <c r="AJ956" s="124"/>
      <c r="AQ956" s="125"/>
      <c r="AR956" s="123"/>
      <c r="AS956" s="125"/>
      <c r="AT956" s="125"/>
      <c r="AU956" s="126"/>
      <c r="AW956" s="127"/>
    </row>
    <row r="957" spans="16:49" ht="15.75" customHeight="1">
      <c r="P957" s="123"/>
      <c r="AJ957" s="124"/>
      <c r="AQ957" s="125"/>
      <c r="AR957" s="123"/>
      <c r="AS957" s="125"/>
      <c r="AT957" s="125"/>
      <c r="AU957" s="126"/>
      <c r="AW957" s="127"/>
    </row>
    <row r="958" spans="16:49" ht="15.75" customHeight="1">
      <c r="P958" s="123"/>
      <c r="AJ958" s="124"/>
      <c r="AQ958" s="125"/>
      <c r="AR958" s="123"/>
      <c r="AS958" s="125"/>
      <c r="AT958" s="125"/>
      <c r="AU958" s="126"/>
      <c r="AW958" s="127"/>
    </row>
    <row r="959" spans="16:49" ht="15.75" customHeight="1">
      <c r="P959" s="123"/>
      <c r="AJ959" s="124"/>
      <c r="AQ959" s="125"/>
      <c r="AR959" s="123"/>
      <c r="AS959" s="125"/>
      <c r="AT959" s="125"/>
      <c r="AU959" s="126"/>
      <c r="AW959" s="127"/>
    </row>
    <row r="960" spans="16:49" ht="15.75" customHeight="1">
      <c r="P960" s="123"/>
      <c r="AJ960" s="124"/>
      <c r="AQ960" s="125"/>
      <c r="AR960" s="123"/>
      <c r="AS960" s="125"/>
      <c r="AT960" s="125"/>
      <c r="AU960" s="126"/>
      <c r="AW960" s="127"/>
    </row>
    <row r="961" spans="16:49" ht="15.75" customHeight="1">
      <c r="P961" s="123"/>
      <c r="AJ961" s="124"/>
      <c r="AQ961" s="125"/>
      <c r="AR961" s="123"/>
      <c r="AS961" s="125"/>
      <c r="AT961" s="125"/>
      <c r="AU961" s="126"/>
      <c r="AW961" s="127"/>
    </row>
    <row r="962" spans="16:49" ht="15.75" customHeight="1">
      <c r="P962" s="123"/>
      <c r="AJ962" s="124"/>
      <c r="AQ962" s="125"/>
      <c r="AR962" s="123"/>
      <c r="AS962" s="125"/>
      <c r="AT962" s="125"/>
      <c r="AU962" s="126"/>
      <c r="AW962" s="127"/>
    </row>
    <row r="963" spans="16:49" ht="15.75" customHeight="1">
      <c r="P963" s="123"/>
      <c r="AJ963" s="124"/>
      <c r="AQ963" s="125"/>
      <c r="AR963" s="123"/>
      <c r="AS963" s="125"/>
      <c r="AT963" s="125"/>
      <c r="AU963" s="126"/>
      <c r="AW963" s="127"/>
    </row>
    <row r="964" spans="16:49" ht="15.75" customHeight="1">
      <c r="P964" s="123"/>
      <c r="AJ964" s="124"/>
      <c r="AQ964" s="125"/>
      <c r="AR964" s="123"/>
      <c r="AS964" s="125"/>
      <c r="AT964" s="125"/>
      <c r="AU964" s="126"/>
      <c r="AW964" s="127"/>
    </row>
    <row r="965" spans="16:49" ht="15.75" customHeight="1">
      <c r="P965" s="123"/>
      <c r="AJ965" s="124"/>
      <c r="AQ965" s="125"/>
      <c r="AR965" s="123"/>
      <c r="AS965" s="125"/>
      <c r="AT965" s="125"/>
      <c r="AU965" s="126"/>
      <c r="AW965" s="127"/>
    </row>
    <row r="966" spans="16:49" ht="15.75" customHeight="1">
      <c r="P966" s="123"/>
      <c r="AJ966" s="124"/>
      <c r="AQ966" s="125"/>
      <c r="AR966" s="123"/>
      <c r="AS966" s="125"/>
      <c r="AT966" s="125"/>
      <c r="AU966" s="126"/>
      <c r="AW966" s="127"/>
    </row>
    <row r="967" spans="16:49" ht="15.75" customHeight="1">
      <c r="P967" s="123"/>
      <c r="AJ967" s="124"/>
      <c r="AQ967" s="125"/>
      <c r="AR967" s="123"/>
      <c r="AS967" s="125"/>
      <c r="AT967" s="125"/>
      <c r="AU967" s="126"/>
      <c r="AW967" s="127"/>
    </row>
    <row r="968" spans="16:49" ht="15.75" customHeight="1">
      <c r="P968" s="123"/>
      <c r="AJ968" s="124"/>
      <c r="AQ968" s="125"/>
      <c r="AR968" s="123"/>
      <c r="AS968" s="125"/>
      <c r="AT968" s="125"/>
      <c r="AU968" s="126"/>
      <c r="AW968" s="127"/>
    </row>
    <row r="969" spans="16:49" ht="15.75" customHeight="1">
      <c r="P969" s="123"/>
      <c r="AJ969" s="124"/>
      <c r="AQ969" s="125"/>
      <c r="AR969" s="123"/>
      <c r="AS969" s="125"/>
      <c r="AT969" s="125"/>
      <c r="AU969" s="126"/>
      <c r="AW969" s="127"/>
    </row>
    <row r="970" spans="16:49" ht="15.75" customHeight="1">
      <c r="P970" s="123"/>
      <c r="AJ970" s="124"/>
      <c r="AQ970" s="125"/>
      <c r="AR970" s="123"/>
      <c r="AS970" s="125"/>
      <c r="AT970" s="125"/>
      <c r="AU970" s="126"/>
      <c r="AW970" s="127"/>
    </row>
    <row r="971" spans="16:49" ht="15.75" customHeight="1">
      <c r="P971" s="123"/>
      <c r="AJ971" s="124"/>
      <c r="AQ971" s="125"/>
      <c r="AR971" s="123"/>
      <c r="AS971" s="125"/>
      <c r="AT971" s="125"/>
      <c r="AU971" s="126"/>
      <c r="AW971" s="127"/>
    </row>
    <row r="972" spans="16:49" ht="15.75" customHeight="1">
      <c r="P972" s="123"/>
      <c r="AJ972" s="124"/>
      <c r="AQ972" s="125"/>
      <c r="AR972" s="123"/>
      <c r="AS972" s="125"/>
      <c r="AT972" s="125"/>
      <c r="AU972" s="126"/>
      <c r="AW972" s="127"/>
    </row>
    <row r="973" spans="16:49" ht="15.75" customHeight="1">
      <c r="P973" s="123"/>
      <c r="AJ973" s="124"/>
      <c r="AQ973" s="125"/>
      <c r="AR973" s="123"/>
      <c r="AS973" s="125"/>
      <c r="AT973" s="125"/>
      <c r="AU973" s="126"/>
      <c r="AW973" s="127"/>
    </row>
    <row r="974" spans="16:49" ht="15.75" customHeight="1">
      <c r="P974" s="123"/>
      <c r="AJ974" s="124"/>
      <c r="AQ974" s="125"/>
      <c r="AR974" s="123"/>
      <c r="AS974" s="125"/>
      <c r="AT974" s="125"/>
      <c r="AU974" s="126"/>
      <c r="AW974" s="127"/>
    </row>
    <row r="975" spans="16:49" ht="15.75" customHeight="1">
      <c r="P975" s="123"/>
      <c r="AJ975" s="124"/>
      <c r="AQ975" s="125"/>
      <c r="AR975" s="123"/>
      <c r="AS975" s="125"/>
      <c r="AT975" s="125"/>
      <c r="AU975" s="126"/>
      <c r="AW975" s="127"/>
    </row>
    <row r="976" spans="16:49" ht="15.75" customHeight="1">
      <c r="P976" s="123"/>
      <c r="AJ976" s="124"/>
      <c r="AQ976" s="125"/>
      <c r="AR976" s="123"/>
      <c r="AS976" s="125"/>
      <c r="AT976" s="125"/>
      <c r="AU976" s="126"/>
      <c r="AW976" s="127"/>
    </row>
    <row r="977" spans="16:49" ht="15.75" customHeight="1">
      <c r="P977" s="123"/>
      <c r="AJ977" s="124"/>
      <c r="AQ977" s="125"/>
      <c r="AR977" s="123"/>
      <c r="AS977" s="125"/>
      <c r="AT977" s="125"/>
      <c r="AU977" s="126"/>
      <c r="AW977" s="127"/>
    </row>
    <row r="978" spans="16:49" ht="15.75" customHeight="1">
      <c r="P978" s="123"/>
      <c r="AJ978" s="124"/>
      <c r="AQ978" s="125"/>
      <c r="AR978" s="123"/>
      <c r="AS978" s="125"/>
      <c r="AT978" s="125"/>
      <c r="AU978" s="126"/>
      <c r="AW978" s="127"/>
    </row>
    <row r="979" spans="16:49" ht="15.75" customHeight="1">
      <c r="P979" s="123"/>
      <c r="AJ979" s="124"/>
      <c r="AQ979" s="125"/>
      <c r="AR979" s="123"/>
      <c r="AS979" s="125"/>
      <c r="AT979" s="125"/>
      <c r="AU979" s="126"/>
      <c r="AW979" s="127"/>
    </row>
    <row r="980" spans="16:49" ht="15.75" customHeight="1">
      <c r="P980" s="123"/>
      <c r="AJ980" s="124"/>
      <c r="AQ980" s="125"/>
      <c r="AR980" s="123"/>
      <c r="AS980" s="125"/>
      <c r="AT980" s="125"/>
      <c r="AU980" s="126"/>
      <c r="AW980" s="127"/>
    </row>
    <row r="981" spans="16:49" ht="15.75" customHeight="1">
      <c r="P981" s="123"/>
      <c r="AJ981" s="124"/>
      <c r="AQ981" s="125"/>
      <c r="AR981" s="123"/>
      <c r="AS981" s="125"/>
      <c r="AT981" s="125"/>
      <c r="AU981" s="126"/>
      <c r="AW981" s="127"/>
    </row>
    <row r="982" spans="16:49" ht="15.75" customHeight="1">
      <c r="P982" s="123"/>
      <c r="AJ982" s="124"/>
      <c r="AQ982" s="125"/>
      <c r="AR982" s="123"/>
      <c r="AS982" s="125"/>
      <c r="AT982" s="125"/>
      <c r="AU982" s="126"/>
      <c r="AW982" s="127"/>
    </row>
    <row r="983" spans="16:49" ht="15.75" customHeight="1">
      <c r="P983" s="123"/>
      <c r="AJ983" s="124"/>
      <c r="AQ983" s="125"/>
      <c r="AR983" s="123"/>
      <c r="AS983" s="125"/>
      <c r="AT983" s="125"/>
      <c r="AU983" s="126"/>
      <c r="AW983" s="127"/>
    </row>
    <row r="984" spans="16:49" ht="15.75" customHeight="1">
      <c r="P984" s="123"/>
      <c r="AJ984" s="124"/>
      <c r="AQ984" s="125"/>
      <c r="AR984" s="123"/>
      <c r="AS984" s="125"/>
      <c r="AT984" s="125"/>
      <c r="AU984" s="126"/>
      <c r="AW984" s="127"/>
    </row>
    <row r="985" spans="16:49" ht="15.75" customHeight="1">
      <c r="P985" s="123"/>
      <c r="AJ985" s="124"/>
      <c r="AQ985" s="125"/>
      <c r="AR985" s="123"/>
      <c r="AS985" s="125"/>
      <c r="AT985" s="125"/>
      <c r="AU985" s="126"/>
      <c r="AW985" s="127"/>
    </row>
    <row r="986" spans="16:49" ht="15.75" customHeight="1">
      <c r="P986" s="123"/>
      <c r="AJ986" s="124"/>
      <c r="AQ986" s="125"/>
      <c r="AR986" s="123"/>
      <c r="AS986" s="125"/>
      <c r="AT986" s="125"/>
      <c r="AU986" s="126"/>
      <c r="AW986" s="127"/>
    </row>
    <row r="987" spans="16:49" ht="15.75" customHeight="1">
      <c r="P987" s="123"/>
      <c r="AJ987" s="124"/>
      <c r="AQ987" s="125"/>
      <c r="AR987" s="123"/>
      <c r="AS987" s="125"/>
      <c r="AT987" s="125"/>
      <c r="AU987" s="126"/>
      <c r="AW987" s="127"/>
    </row>
    <row r="988" spans="16:49" ht="15.75" customHeight="1">
      <c r="P988" s="123"/>
      <c r="AJ988" s="124"/>
      <c r="AQ988" s="125"/>
      <c r="AR988" s="123"/>
      <c r="AS988" s="125"/>
      <c r="AT988" s="125"/>
      <c r="AU988" s="126"/>
      <c r="AW988" s="127"/>
    </row>
    <row r="989" spans="16:49" ht="15.75" customHeight="1">
      <c r="P989" s="123"/>
      <c r="AJ989" s="124"/>
      <c r="AQ989" s="125"/>
      <c r="AR989" s="123"/>
      <c r="AS989" s="125"/>
      <c r="AT989" s="125"/>
      <c r="AU989" s="126"/>
      <c r="AW989" s="127"/>
    </row>
    <row r="990" spans="16:49" ht="15.75" customHeight="1">
      <c r="P990" s="123"/>
      <c r="AJ990" s="124"/>
      <c r="AQ990" s="125"/>
      <c r="AR990" s="123"/>
      <c r="AS990" s="125"/>
      <c r="AT990" s="125"/>
      <c r="AU990" s="126"/>
      <c r="AW990" s="127"/>
    </row>
    <row r="991" spans="16:49" ht="15.75" customHeight="1">
      <c r="P991" s="123"/>
      <c r="AJ991" s="124"/>
      <c r="AQ991" s="125"/>
      <c r="AR991" s="123"/>
      <c r="AS991" s="125"/>
      <c r="AT991" s="125"/>
      <c r="AU991" s="126"/>
      <c r="AW991" s="127"/>
    </row>
    <row r="992" spans="16:49" ht="15.75" customHeight="1">
      <c r="P992" s="123"/>
      <c r="AJ992" s="124"/>
      <c r="AQ992" s="125"/>
      <c r="AR992" s="123"/>
      <c r="AS992" s="125"/>
      <c r="AT992" s="125"/>
      <c r="AU992" s="126"/>
      <c r="AW992" s="127"/>
    </row>
    <row r="993" spans="16:49" ht="15.75" customHeight="1">
      <c r="P993" s="123"/>
      <c r="AJ993" s="124"/>
      <c r="AQ993" s="125"/>
      <c r="AR993" s="123"/>
      <c r="AS993" s="125"/>
      <c r="AT993" s="125"/>
      <c r="AU993" s="126"/>
      <c r="AW993" s="127"/>
    </row>
    <row r="994" spans="16:49" ht="15.75" customHeight="1">
      <c r="P994" s="123"/>
      <c r="AJ994" s="124"/>
      <c r="AQ994" s="125"/>
      <c r="AR994" s="123"/>
      <c r="AS994" s="125"/>
      <c r="AT994" s="125"/>
      <c r="AU994" s="126"/>
      <c r="AW994" s="127"/>
    </row>
    <row r="995" spans="16:49" ht="15.75" customHeight="1">
      <c r="P995" s="123"/>
      <c r="AJ995" s="124"/>
      <c r="AQ995" s="125"/>
      <c r="AR995" s="123"/>
      <c r="AS995" s="125"/>
      <c r="AT995" s="125"/>
      <c r="AU995" s="126"/>
      <c r="AW995" s="127"/>
    </row>
    <row r="996" spans="16:49" ht="15.75" customHeight="1">
      <c r="P996" s="123"/>
      <c r="AJ996" s="124"/>
      <c r="AQ996" s="125"/>
      <c r="AR996" s="123"/>
      <c r="AS996" s="125"/>
      <c r="AT996" s="125"/>
      <c r="AU996" s="126"/>
      <c r="AW996" s="127"/>
    </row>
    <row r="997" spans="16:49" ht="15.75" customHeight="1">
      <c r="P997" s="123"/>
      <c r="AJ997" s="124"/>
      <c r="AQ997" s="125"/>
      <c r="AR997" s="123"/>
      <c r="AS997" s="125"/>
      <c r="AT997" s="125"/>
      <c r="AU997" s="126"/>
      <c r="AW997" s="127"/>
    </row>
    <row r="998" spans="16:49" ht="15.75" customHeight="1">
      <c r="P998" s="123"/>
      <c r="AJ998" s="124"/>
      <c r="AQ998" s="125"/>
      <c r="AR998" s="123"/>
      <c r="AS998" s="125"/>
      <c r="AT998" s="125"/>
      <c r="AU998" s="126"/>
      <c r="AW998" s="127"/>
    </row>
    <row r="999" spans="16:49" ht="15.75" customHeight="1">
      <c r="P999" s="123"/>
      <c r="AJ999" s="124"/>
      <c r="AQ999" s="125"/>
      <c r="AR999" s="123"/>
      <c r="AS999" s="125"/>
      <c r="AT999" s="125"/>
      <c r="AU999" s="126"/>
      <c r="AW999" s="127"/>
    </row>
    <row r="1000" spans="16:49" ht="15.75" customHeight="1">
      <c r="P1000" s="123"/>
      <c r="AJ1000" s="124"/>
      <c r="AQ1000" s="125"/>
      <c r="AR1000" s="123"/>
      <c r="AS1000" s="125"/>
      <c r="AT1000" s="125"/>
      <c r="AU1000" s="128"/>
      <c r="AV1000" s="129"/>
      <c r="AW1000" s="130"/>
    </row>
  </sheetData>
  <sheetProtection sheet="1" objects="1" scenarios="1" sort="0" autoFilter="0"/>
  <autoFilter ref="A4:AY504" xr:uid="{00000000-0009-0000-0000-000002000000}"/>
  <mergeCells count="7">
    <mergeCell ref="AU1:AW1"/>
    <mergeCell ref="A506:AY506"/>
    <mergeCell ref="A1:R1"/>
    <mergeCell ref="S1:AC1"/>
    <mergeCell ref="AD1:AF1"/>
    <mergeCell ref="AG1:AP1"/>
    <mergeCell ref="AQ1:AT1"/>
  </mergeCells>
  <phoneticPr fontId="19" type="noConversion"/>
  <pageMargins left="0.7" right="0.7" top="0.75" bottom="0.75" header="0" footer="0"/>
  <pageSetup orientation="landscape"/>
  <extLst>
    <ext xmlns:x14="http://schemas.microsoft.com/office/spreadsheetml/2009/9/main" uri="{CCE6A557-97BC-4b89-ADB6-D9C93CAAB3DF}">
      <x14:dataValidations xmlns:xm="http://schemas.microsoft.com/office/excel/2006/main" count="19">
        <x14:dataValidation type="list" allowBlank="1" showErrorMessage="1" xr:uid="{00000000-0002-0000-0200-000000000000}">
          <x14:formula1>
            <xm:f>'Demographic Descriptions'!$A$3:$A$16</xm:f>
          </x14:formula1>
          <xm:sqref>AN5:AN504</xm:sqref>
        </x14:dataValidation>
        <x14:dataValidation type="list" allowBlank="1" showErrorMessage="1" xr:uid="{00000000-0002-0000-0200-000001000000}">
          <x14:formula1>
            <xm:f>'Demographic Descriptions'!$F$3:$F$229</xm:f>
          </x14:formula1>
          <xm:sqref>O5:O504 AB5:AB504</xm:sqref>
        </x14:dataValidation>
        <x14:dataValidation type="list" allowBlank="1" showErrorMessage="1" xr:uid="{00000000-0002-0000-0200-000002000000}">
          <x14:formula1>
            <xm:f>'Demographic Descriptions'!$O$3:$O$17</xm:f>
          </x14:formula1>
          <xm:sqref>AS5:AS504</xm:sqref>
        </x14:dataValidation>
        <x14:dataValidation type="list" allowBlank="1" showErrorMessage="1" xr:uid="{00000000-0002-0000-0200-000003000000}">
          <x14:formula1>
            <xm:f>'Demographic Descriptions'!$D$3:$D$224</xm:f>
          </x14:formula1>
          <xm:sqref>H5:H504</xm:sqref>
        </x14:dataValidation>
        <x14:dataValidation type="list" allowBlank="1" showErrorMessage="1" xr:uid="{00000000-0002-0000-0200-000004000000}">
          <x14:formula1>
            <xm:f>'Demographic Descriptions'!$N$3:$N$17</xm:f>
          </x14:formula1>
          <xm:sqref>AP5:AP504</xm:sqref>
        </x14:dataValidation>
        <x14:dataValidation type="list" allowBlank="1" showErrorMessage="1" xr:uid="{00000000-0002-0000-0200-000005000000}">
          <x14:formula1>
            <xm:f>'Demographic Descriptions'!$E$3:$E$7</xm:f>
          </x14:formula1>
          <xm:sqref>J5:J504</xm:sqref>
        </x14:dataValidation>
        <x14:dataValidation type="list" allowBlank="1" showErrorMessage="1" xr:uid="{00000000-0002-0000-0200-000006000000}">
          <x14:formula1>
            <xm:f>'Demographic Descriptions'!$K$3:$K$8</xm:f>
          </x14:formula1>
          <xm:sqref>AR5:AR504</xm:sqref>
        </x14:dataValidation>
        <x14:dataValidation type="list" allowBlank="1" showErrorMessage="1" xr:uid="{00000000-0002-0000-0200-000007000000}">
          <x14:formula1>
            <xm:f>'Demographic Descriptions'!$I$3:$I$10</xm:f>
          </x14:formula1>
          <xm:sqref>AK5:AK504</xm:sqref>
        </x14:dataValidation>
        <x14:dataValidation type="list" allowBlank="1" showErrorMessage="1" xr:uid="{00000000-0002-0000-0200-000008000000}">
          <x14:formula1>
            <xm:f>'Demographic Descriptions'!$S$3:$S$5</xm:f>
          </x14:formula1>
          <xm:sqref>F5:F504</xm:sqref>
        </x14:dataValidation>
        <x14:dataValidation type="list" allowBlank="1" showErrorMessage="1" xr:uid="{00000000-0002-0000-0200-000009000000}">
          <x14:formula1>
            <xm:f>'Demographic Descriptions'!$R$3:$R$6</xm:f>
          </x14:formula1>
          <xm:sqref>AV5:AV504 AI5:AI504</xm:sqref>
        </x14:dataValidation>
        <x14:dataValidation type="list" allowBlank="1" showErrorMessage="1" xr:uid="{00000000-0002-0000-0200-00000A000000}">
          <x14:formula1>
            <xm:f>'Demographic Descriptions'!$M$3:$M$52</xm:f>
          </x14:formula1>
          <xm:sqref>AM5:AM504</xm:sqref>
        </x14:dataValidation>
        <x14:dataValidation type="list" allowBlank="1" showErrorMessage="1" xr:uid="{00000000-0002-0000-0200-00000B000000}">
          <x14:formula1>
            <xm:f>'Demographic Descriptions'!$P$3:$P$12</xm:f>
          </x14:formula1>
          <xm:sqref>AW5:AW504</xm:sqref>
        </x14:dataValidation>
        <x14:dataValidation type="list" allowBlank="1" showErrorMessage="1" xr:uid="{00000000-0002-0000-0200-00000C000000}">
          <x14:formula1>
            <xm:f>'Demographic Descriptions'!$B$3:$B$7</xm:f>
          </x14:formula1>
          <xm:sqref>E5:E504</xm:sqref>
        </x14:dataValidation>
        <x14:dataValidation type="list" allowBlank="1" showErrorMessage="1" xr:uid="{00000000-0002-0000-0200-00000D000000}">
          <x14:formula1>
            <xm:f>'Demographic Descriptions'!$C$3:$C$8</xm:f>
          </x14:formula1>
          <xm:sqref>G5:G504</xm:sqref>
        </x14:dataValidation>
        <x14:dataValidation type="list" allowBlank="1" showErrorMessage="1" xr:uid="{00000000-0002-0000-0200-00000E000000}">
          <x14:formula1>
            <xm:f>'Demographic Descriptions'!$Q$3:$Q$8</xm:f>
          </x14:formula1>
          <xm:sqref>AO5:AO504</xm:sqref>
        </x14:dataValidation>
        <x14:dataValidation type="list" allowBlank="1" showErrorMessage="1" xr:uid="{00000000-0002-0000-0200-00000F000000}">
          <x14:formula1>
            <xm:f>'Demographic Descriptions'!$H$3:$H$4</xm:f>
          </x14:formula1>
          <xm:sqref>M5:M504</xm:sqref>
        </x14:dataValidation>
        <x14:dataValidation type="list" allowBlank="1" showErrorMessage="1" xr:uid="{00000000-0002-0000-0200-000010000000}">
          <x14:formula1>
            <xm:f>'Demographic Descriptions'!$G$3:$G$111</xm:f>
          </x14:formula1>
          <xm:sqref>D5:D504</xm:sqref>
        </x14:dataValidation>
        <x14:dataValidation type="list" allowBlank="1" showErrorMessage="1" xr:uid="{00000000-0002-0000-0200-000012000000}">
          <x14:formula1>
            <xm:f>'Demographic Descriptions'!$J$3:$J$4</xm:f>
          </x14:formula1>
          <xm:sqref>AL5:AL504</xm:sqref>
        </x14:dataValidation>
        <x14:dataValidation type="list" allowBlank="1" showErrorMessage="1" xr:uid="{00000000-0002-0000-0200-000011000000}">
          <x14:formula1>
            <xm:f>'Demographic Descriptions'!$L$3:$L$4</xm:f>
          </x14:formula1>
          <xm:sqref>I5:I504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showGridLines="0" workbookViewId="0">
      <pane ySplit="2" topLeftCell="A3" activePane="bottomLeft" state="frozen"/>
      <selection activeCell="L13" sqref="L13"/>
      <selection pane="bottomLeft" activeCell="U5" sqref="U5"/>
    </sheetView>
  </sheetViews>
  <sheetFormatPr baseColWidth="10" defaultColWidth="10.28515625" defaultRowHeight="15" customHeight="1"/>
  <cols>
    <col min="1" max="1" width="31.85546875" customWidth="1"/>
    <col min="2" max="2" width="32.42578125" customWidth="1"/>
    <col min="3" max="3" width="35.140625" customWidth="1"/>
    <col min="4" max="4" width="31.85546875" customWidth="1"/>
    <col min="5" max="5" width="32.140625" customWidth="1"/>
    <col min="6" max="6" width="41.140625" customWidth="1"/>
    <col min="7" max="7" width="35.42578125" customWidth="1"/>
    <col min="8" max="8" width="32.7109375" customWidth="1"/>
    <col min="9" max="9" width="35.42578125" customWidth="1"/>
    <col min="10" max="10" width="32.7109375" customWidth="1"/>
    <col min="11" max="11" width="30.85546875" customWidth="1"/>
    <col min="12" max="12" width="33.42578125" customWidth="1"/>
    <col min="13" max="13" width="33.28515625" customWidth="1"/>
    <col min="14" max="14" width="33" customWidth="1"/>
    <col min="15" max="15" width="32.140625" customWidth="1"/>
    <col min="16" max="16" width="40.140625" customWidth="1"/>
    <col min="17" max="17" width="34.85546875" customWidth="1"/>
    <col min="18" max="18" width="37.85546875" customWidth="1"/>
    <col min="19" max="19" width="34.85546875" customWidth="1"/>
    <col min="20" max="20" width="9.7109375" customWidth="1"/>
    <col min="21" max="26" width="9.42578125" customWidth="1"/>
  </cols>
  <sheetData>
    <row r="1" spans="1:26" ht="37.5" customHeight="1">
      <c r="A1" s="1" t="s">
        <v>268</v>
      </c>
      <c r="B1" s="1" t="s">
        <v>37</v>
      </c>
      <c r="C1" s="1" t="s">
        <v>39</v>
      </c>
      <c r="D1" s="1" t="s">
        <v>40</v>
      </c>
      <c r="E1" s="1" t="s">
        <v>42</v>
      </c>
      <c r="F1" s="1" t="s">
        <v>269</v>
      </c>
      <c r="G1" s="1" t="s">
        <v>270</v>
      </c>
      <c r="H1" s="1" t="s">
        <v>45</v>
      </c>
      <c r="I1" s="1" t="s">
        <v>69</v>
      </c>
      <c r="J1" s="1" t="s">
        <v>70</v>
      </c>
      <c r="K1" s="1" t="s">
        <v>76</v>
      </c>
      <c r="L1" s="1" t="s">
        <v>271</v>
      </c>
      <c r="M1" s="1" t="s">
        <v>71</v>
      </c>
      <c r="N1" s="1" t="s">
        <v>74</v>
      </c>
      <c r="O1" s="1" t="s">
        <v>77</v>
      </c>
      <c r="P1" s="1" t="s">
        <v>81</v>
      </c>
      <c r="Q1" s="1" t="s">
        <v>73</v>
      </c>
      <c r="R1" s="1" t="s">
        <v>272</v>
      </c>
      <c r="S1" s="1" t="s">
        <v>38</v>
      </c>
      <c r="T1" s="2"/>
      <c r="U1" s="2"/>
      <c r="V1" s="2"/>
      <c r="W1" s="2"/>
      <c r="X1" s="2"/>
      <c r="Y1" s="2"/>
      <c r="Z1" s="2"/>
    </row>
    <row r="2" spans="1:26" ht="95" customHeight="1">
      <c r="A2" s="3" t="s">
        <v>273</v>
      </c>
      <c r="B2" s="4" t="s">
        <v>273</v>
      </c>
      <c r="C2" s="5" t="s">
        <v>273</v>
      </c>
      <c r="D2" s="6" t="s">
        <v>273</v>
      </c>
      <c r="E2" s="6" t="s">
        <v>273</v>
      </c>
      <c r="F2" s="4" t="s">
        <v>273</v>
      </c>
      <c r="G2" s="5" t="s">
        <v>273</v>
      </c>
      <c r="H2" s="4" t="s">
        <v>273</v>
      </c>
      <c r="I2" s="4" t="s">
        <v>273</v>
      </c>
      <c r="J2" s="3" t="s">
        <v>273</v>
      </c>
      <c r="K2" s="5" t="s">
        <v>273</v>
      </c>
      <c r="L2" s="4" t="s">
        <v>273</v>
      </c>
      <c r="M2" s="5" t="s">
        <v>273</v>
      </c>
      <c r="N2" s="4" t="s">
        <v>273</v>
      </c>
      <c r="O2" s="4" t="s">
        <v>273</v>
      </c>
      <c r="P2" s="4" t="s">
        <v>273</v>
      </c>
      <c r="Q2" s="4" t="s">
        <v>273</v>
      </c>
      <c r="R2" s="6" t="s">
        <v>273</v>
      </c>
      <c r="S2" s="4" t="s">
        <v>273</v>
      </c>
      <c r="T2" s="7"/>
      <c r="U2" s="8"/>
      <c r="V2" s="8"/>
      <c r="W2" s="8"/>
      <c r="X2" s="8"/>
      <c r="Y2" s="8"/>
      <c r="Z2" s="8"/>
    </row>
    <row r="3" spans="1:26" ht="22.5" customHeight="1">
      <c r="A3" s="9" t="s">
        <v>190</v>
      </c>
      <c r="B3" s="9" t="s">
        <v>179</v>
      </c>
      <c r="C3" s="9" t="s">
        <v>181</v>
      </c>
      <c r="D3" s="9" t="s">
        <v>274</v>
      </c>
      <c r="E3" s="10" t="s">
        <v>183</v>
      </c>
      <c r="F3" s="10" t="s">
        <v>275</v>
      </c>
      <c r="G3" s="9" t="s">
        <v>276</v>
      </c>
      <c r="H3" s="9" t="s">
        <v>277</v>
      </c>
      <c r="I3" s="9" t="s">
        <v>187</v>
      </c>
      <c r="J3" s="9" t="s">
        <v>188</v>
      </c>
      <c r="K3" s="9" t="s">
        <v>193</v>
      </c>
      <c r="L3" s="9" t="s">
        <v>182</v>
      </c>
      <c r="M3" s="9" t="s">
        <v>189</v>
      </c>
      <c r="N3" s="9" t="s">
        <v>233</v>
      </c>
      <c r="O3" s="9" t="s">
        <v>194</v>
      </c>
      <c r="P3" s="9" t="s">
        <v>253</v>
      </c>
      <c r="Q3" s="9" t="s">
        <v>206</v>
      </c>
      <c r="R3" s="9" t="s">
        <v>21</v>
      </c>
      <c r="S3" s="9" t="s">
        <v>180</v>
      </c>
      <c r="T3" s="11"/>
      <c r="U3" s="11"/>
      <c r="V3" s="11"/>
      <c r="W3" s="11"/>
      <c r="X3" s="11"/>
      <c r="Y3" s="11"/>
      <c r="Z3" s="11"/>
    </row>
    <row r="4" spans="1:26" ht="22.5" customHeight="1">
      <c r="A4" s="12" t="s">
        <v>205</v>
      </c>
      <c r="B4" s="12" t="s">
        <v>196</v>
      </c>
      <c r="C4" s="12" t="s">
        <v>198</v>
      </c>
      <c r="D4" s="12" t="s">
        <v>278</v>
      </c>
      <c r="E4" s="12" t="s">
        <v>236</v>
      </c>
      <c r="F4" s="12" t="s">
        <v>279</v>
      </c>
      <c r="G4" s="12" t="s">
        <v>280</v>
      </c>
      <c r="H4" s="12" t="s">
        <v>184</v>
      </c>
      <c r="I4" s="12" t="s">
        <v>202</v>
      </c>
      <c r="J4" s="12" t="s">
        <v>203</v>
      </c>
      <c r="K4" s="12" t="s">
        <v>208</v>
      </c>
      <c r="L4" s="12" t="s">
        <v>200</v>
      </c>
      <c r="M4" s="12" t="s">
        <v>204</v>
      </c>
      <c r="N4" s="12" t="s">
        <v>225</v>
      </c>
      <c r="O4" s="12" t="s">
        <v>209</v>
      </c>
      <c r="P4" s="12" t="s">
        <v>281</v>
      </c>
      <c r="Q4" s="12" t="s">
        <v>191</v>
      </c>
      <c r="R4" s="12" t="s">
        <v>22</v>
      </c>
      <c r="S4" s="12" t="s">
        <v>197</v>
      </c>
      <c r="T4" s="11"/>
      <c r="U4" s="11"/>
      <c r="V4" s="11"/>
      <c r="W4" s="11"/>
      <c r="X4" s="11"/>
      <c r="Y4" s="11"/>
      <c r="Z4" s="11"/>
    </row>
    <row r="5" spans="1:26" ht="22.5" customHeight="1">
      <c r="A5" s="12" t="s">
        <v>217</v>
      </c>
      <c r="B5" s="12" t="s">
        <v>282</v>
      </c>
      <c r="C5" s="12" t="s">
        <v>213</v>
      </c>
      <c r="D5" s="12" t="s">
        <v>283</v>
      </c>
      <c r="E5" s="12" t="s">
        <v>254</v>
      </c>
      <c r="F5" s="12" t="s">
        <v>284</v>
      </c>
      <c r="G5" s="12" t="s">
        <v>285</v>
      </c>
      <c r="H5" s="11"/>
      <c r="I5" s="12" t="s">
        <v>286</v>
      </c>
      <c r="J5" s="11"/>
      <c r="K5" s="12" t="s">
        <v>219</v>
      </c>
      <c r="L5" s="11"/>
      <c r="M5" s="12" t="s">
        <v>216</v>
      </c>
      <c r="N5" s="12" t="s">
        <v>218</v>
      </c>
      <c r="O5" s="12" t="s">
        <v>287</v>
      </c>
      <c r="P5" s="12" t="s">
        <v>288</v>
      </c>
      <c r="Q5" s="12" t="s">
        <v>232</v>
      </c>
      <c r="R5" s="12" t="s">
        <v>25</v>
      </c>
      <c r="S5" s="12" t="s">
        <v>212</v>
      </c>
      <c r="T5" s="11"/>
      <c r="U5" s="11"/>
      <c r="V5" s="11"/>
      <c r="W5" s="11"/>
      <c r="X5" s="11"/>
      <c r="Y5" s="11"/>
      <c r="Z5" s="11"/>
    </row>
    <row r="6" spans="1:26" ht="22.5" customHeight="1">
      <c r="A6" s="12" t="s">
        <v>223</v>
      </c>
      <c r="B6" s="12" t="s">
        <v>220</v>
      </c>
      <c r="C6" s="12" t="s">
        <v>221</v>
      </c>
      <c r="D6" s="12" t="s">
        <v>199</v>
      </c>
      <c r="E6" s="12" t="s">
        <v>228</v>
      </c>
      <c r="F6" s="12" t="s">
        <v>289</v>
      </c>
      <c r="G6" s="12" t="s">
        <v>290</v>
      </c>
      <c r="H6" s="11"/>
      <c r="I6" s="12" t="s">
        <v>229</v>
      </c>
      <c r="J6" s="11"/>
      <c r="K6" s="12" t="s">
        <v>291</v>
      </c>
      <c r="L6" s="11"/>
      <c r="M6" s="12" t="s">
        <v>222</v>
      </c>
      <c r="N6" s="12" t="s">
        <v>207</v>
      </c>
      <c r="O6" s="12" t="s">
        <v>292</v>
      </c>
      <c r="P6" s="12" t="s">
        <v>293</v>
      </c>
      <c r="Q6" s="12" t="s">
        <v>224</v>
      </c>
      <c r="R6" s="12" t="s">
        <v>26</v>
      </c>
      <c r="S6" s="11"/>
      <c r="T6" s="11"/>
      <c r="U6" s="11"/>
      <c r="V6" s="11"/>
      <c r="W6" s="11"/>
      <c r="X6" s="11"/>
      <c r="Y6" s="11"/>
      <c r="Z6" s="11"/>
    </row>
    <row r="7" spans="1:26" ht="22.5" customHeight="1">
      <c r="A7" s="12" t="s">
        <v>231</v>
      </c>
      <c r="B7" s="12" t="s">
        <v>226</v>
      </c>
      <c r="C7" s="12" t="s">
        <v>227</v>
      </c>
      <c r="D7" s="12" t="s">
        <v>294</v>
      </c>
      <c r="E7" s="12" t="s">
        <v>201</v>
      </c>
      <c r="F7" s="12" t="s">
        <v>295</v>
      </c>
      <c r="G7" s="12" t="s">
        <v>296</v>
      </c>
      <c r="H7" s="11"/>
      <c r="I7" s="12" t="s">
        <v>297</v>
      </c>
      <c r="J7" s="11"/>
      <c r="K7" s="12" t="s">
        <v>298</v>
      </c>
      <c r="L7" s="11"/>
      <c r="M7" s="12" t="s">
        <v>230</v>
      </c>
      <c r="N7" s="12" t="s">
        <v>192</v>
      </c>
      <c r="O7" s="12" t="s">
        <v>299</v>
      </c>
      <c r="P7" s="12" t="s">
        <v>300</v>
      </c>
      <c r="Q7" s="12" t="s">
        <v>259</v>
      </c>
      <c r="R7" s="11"/>
      <c r="S7" s="11"/>
      <c r="T7" s="11"/>
      <c r="U7" s="11"/>
      <c r="V7" s="11"/>
      <c r="W7" s="11"/>
      <c r="X7" s="11"/>
      <c r="Y7" s="11"/>
      <c r="Z7" s="11"/>
    </row>
    <row r="8" spans="1:26" ht="22.5" customHeight="1">
      <c r="A8" s="12" t="s">
        <v>301</v>
      </c>
      <c r="B8" s="11"/>
      <c r="C8" s="12" t="s">
        <v>234</v>
      </c>
      <c r="D8" s="12" t="s">
        <v>302</v>
      </c>
      <c r="E8" s="11"/>
      <c r="F8" s="12" t="s">
        <v>303</v>
      </c>
      <c r="G8" s="12" t="s">
        <v>304</v>
      </c>
      <c r="H8" s="11"/>
      <c r="I8" s="12" t="s">
        <v>305</v>
      </c>
      <c r="J8" s="11"/>
      <c r="K8" s="12" t="s">
        <v>306</v>
      </c>
      <c r="L8" s="11"/>
      <c r="M8" s="12" t="s">
        <v>307</v>
      </c>
      <c r="N8" s="12" t="s">
        <v>308</v>
      </c>
      <c r="O8" s="12" t="s">
        <v>309</v>
      </c>
      <c r="P8" s="12" t="s">
        <v>310</v>
      </c>
      <c r="Q8" s="12" t="s">
        <v>311</v>
      </c>
      <c r="R8" s="11"/>
      <c r="S8" s="11"/>
      <c r="T8" s="11"/>
      <c r="U8" s="11"/>
      <c r="V8" s="11"/>
      <c r="W8" s="11"/>
      <c r="X8" s="11"/>
      <c r="Y8" s="11"/>
      <c r="Z8" s="11"/>
    </row>
    <row r="9" spans="1:26" ht="22.5" customHeight="1">
      <c r="A9" s="12" t="s">
        <v>312</v>
      </c>
      <c r="B9" s="11"/>
      <c r="C9" s="11"/>
      <c r="D9" s="12" t="s">
        <v>313</v>
      </c>
      <c r="E9" s="11"/>
      <c r="F9" s="12" t="s">
        <v>314</v>
      </c>
      <c r="G9" s="12" t="s">
        <v>315</v>
      </c>
      <c r="H9" s="11"/>
      <c r="I9" s="12" t="s">
        <v>316</v>
      </c>
      <c r="J9" s="11"/>
      <c r="K9" s="11"/>
      <c r="L9" s="11"/>
      <c r="M9" s="12" t="s">
        <v>317</v>
      </c>
      <c r="N9" s="12" t="s">
        <v>318</v>
      </c>
      <c r="O9" s="12" t="s">
        <v>319</v>
      </c>
      <c r="P9" s="12" t="s">
        <v>260</v>
      </c>
      <c r="Q9" s="11"/>
      <c r="R9" s="11"/>
      <c r="S9" s="11"/>
      <c r="T9" s="11"/>
      <c r="U9" s="11"/>
      <c r="V9" s="11"/>
      <c r="W9" s="11"/>
      <c r="X9" s="11"/>
      <c r="Y9" s="11"/>
      <c r="Z9" s="11"/>
    </row>
    <row r="10" spans="1:26" ht="22.5" customHeight="1">
      <c r="A10" s="12" t="s">
        <v>320</v>
      </c>
      <c r="B10" s="11"/>
      <c r="C10" s="11"/>
      <c r="D10" s="12" t="s">
        <v>321</v>
      </c>
      <c r="E10" s="11"/>
      <c r="F10" s="12" t="s">
        <v>215</v>
      </c>
      <c r="G10" s="12" t="s">
        <v>322</v>
      </c>
      <c r="H10" s="11"/>
      <c r="I10" s="12" t="s">
        <v>265</v>
      </c>
      <c r="J10" s="11"/>
      <c r="K10" s="11"/>
      <c r="L10" s="11"/>
      <c r="M10" s="12" t="s">
        <v>323</v>
      </c>
      <c r="N10" s="12" t="s">
        <v>324</v>
      </c>
      <c r="O10" s="12" t="s">
        <v>325</v>
      </c>
      <c r="P10" s="12" t="s">
        <v>210</v>
      </c>
      <c r="Q10" s="11"/>
      <c r="R10" s="11"/>
      <c r="S10" s="11"/>
      <c r="T10" s="11"/>
      <c r="U10" s="11"/>
      <c r="V10" s="11"/>
      <c r="W10" s="11"/>
      <c r="X10" s="11"/>
      <c r="Y10" s="11"/>
      <c r="Z10" s="11"/>
    </row>
    <row r="11" spans="1:26" ht="22.5" customHeight="1">
      <c r="A11" s="12" t="s">
        <v>326</v>
      </c>
      <c r="B11" s="11"/>
      <c r="C11" s="11"/>
      <c r="D11" s="12" t="s">
        <v>214</v>
      </c>
      <c r="E11" s="11"/>
      <c r="F11" s="12" t="s">
        <v>327</v>
      </c>
      <c r="G11" s="12" t="s">
        <v>328</v>
      </c>
      <c r="H11" s="11"/>
      <c r="I11" s="11"/>
      <c r="J11" s="11"/>
      <c r="K11" s="11"/>
      <c r="L11" s="11"/>
      <c r="M11" s="12" t="s">
        <v>329</v>
      </c>
      <c r="N11" s="12" t="s">
        <v>330</v>
      </c>
      <c r="O11" s="12" t="s">
        <v>331</v>
      </c>
      <c r="P11" s="12" t="s">
        <v>332</v>
      </c>
      <c r="Q11" s="11"/>
      <c r="R11" s="11"/>
      <c r="S11" s="11"/>
      <c r="T11" s="11"/>
      <c r="U11" s="11"/>
      <c r="V11" s="11"/>
      <c r="W11" s="11"/>
      <c r="X11" s="11"/>
      <c r="Y11" s="11"/>
      <c r="Z11" s="11"/>
    </row>
    <row r="12" spans="1:26" ht="22.5" customHeight="1">
      <c r="A12" s="12" t="s">
        <v>333</v>
      </c>
      <c r="B12" s="11"/>
      <c r="C12" s="11"/>
      <c r="D12" s="12" t="s">
        <v>290</v>
      </c>
      <c r="E12" s="11"/>
      <c r="F12" s="12" t="s">
        <v>334</v>
      </c>
      <c r="G12" s="12" t="s">
        <v>335</v>
      </c>
      <c r="H12" s="11"/>
      <c r="I12" s="11"/>
      <c r="J12" s="11"/>
      <c r="K12" s="11"/>
      <c r="L12" s="11"/>
      <c r="M12" s="12" t="s">
        <v>336</v>
      </c>
      <c r="N12" s="12" t="s">
        <v>337</v>
      </c>
      <c r="O12" s="12" t="s">
        <v>338</v>
      </c>
      <c r="P12" s="12" t="s">
        <v>339</v>
      </c>
      <c r="Q12" s="11"/>
      <c r="R12" s="11"/>
      <c r="S12" s="11"/>
      <c r="T12" s="11"/>
      <c r="U12" s="11"/>
      <c r="V12" s="11"/>
      <c r="W12" s="11"/>
      <c r="X12" s="11"/>
      <c r="Y12" s="11"/>
      <c r="Z12" s="11"/>
    </row>
    <row r="13" spans="1:26" ht="22.5" customHeight="1">
      <c r="A13" s="12" t="s">
        <v>340</v>
      </c>
      <c r="B13" s="11"/>
      <c r="C13" s="11"/>
      <c r="D13" s="12" t="s">
        <v>341</v>
      </c>
      <c r="E13" s="11"/>
      <c r="F13" s="12" t="s">
        <v>342</v>
      </c>
      <c r="G13" s="12" t="s">
        <v>343</v>
      </c>
      <c r="H13" s="11"/>
      <c r="I13" s="11"/>
      <c r="J13" s="11"/>
      <c r="K13" s="11"/>
      <c r="L13" s="11"/>
      <c r="M13" s="12" t="s">
        <v>344</v>
      </c>
      <c r="N13" s="12" t="s">
        <v>345</v>
      </c>
      <c r="O13" s="12" t="s">
        <v>346</v>
      </c>
      <c r="P13" s="11"/>
      <c r="Q13" s="11"/>
      <c r="R13" s="11"/>
      <c r="S13" s="11"/>
      <c r="T13" s="11"/>
      <c r="U13" s="11"/>
      <c r="V13" s="11"/>
      <c r="W13" s="11"/>
      <c r="X13" s="11"/>
      <c r="Y13" s="11"/>
      <c r="Z13" s="11"/>
    </row>
    <row r="14" spans="1:26" ht="22.5" customHeight="1">
      <c r="A14" s="12" t="s">
        <v>347</v>
      </c>
      <c r="B14" s="11"/>
      <c r="C14" s="11"/>
      <c r="D14" s="12" t="s">
        <v>348</v>
      </c>
      <c r="E14" s="11"/>
      <c r="F14" s="12" t="s">
        <v>349</v>
      </c>
      <c r="G14" s="12" t="s">
        <v>350</v>
      </c>
      <c r="H14" s="11"/>
      <c r="I14" s="11"/>
      <c r="J14" s="11"/>
      <c r="K14" s="11"/>
      <c r="L14" s="11"/>
      <c r="M14" s="12" t="s">
        <v>351</v>
      </c>
      <c r="N14" s="12" t="s">
        <v>352</v>
      </c>
      <c r="O14" s="12" t="s">
        <v>353</v>
      </c>
      <c r="P14" s="11"/>
      <c r="Q14" s="11"/>
      <c r="R14" s="11"/>
      <c r="S14" s="11"/>
      <c r="T14" s="11"/>
      <c r="U14" s="11"/>
      <c r="V14" s="11"/>
      <c r="W14" s="11"/>
      <c r="X14" s="11"/>
      <c r="Y14" s="11"/>
      <c r="Z14" s="11"/>
    </row>
    <row r="15" spans="1:26" ht="22.5" customHeight="1">
      <c r="A15" s="12" t="s">
        <v>354</v>
      </c>
      <c r="B15" s="11"/>
      <c r="C15" s="11"/>
      <c r="D15" s="12" t="s">
        <v>355</v>
      </c>
      <c r="E15" s="11"/>
      <c r="F15" s="12" t="s">
        <v>356</v>
      </c>
      <c r="G15" s="12" t="s">
        <v>357</v>
      </c>
      <c r="H15" s="11"/>
      <c r="I15" s="11"/>
      <c r="J15" s="11"/>
      <c r="K15" s="11"/>
      <c r="L15" s="11"/>
      <c r="M15" s="12" t="s">
        <v>358</v>
      </c>
      <c r="N15" s="12" t="s">
        <v>359</v>
      </c>
      <c r="O15" s="12" t="s">
        <v>360</v>
      </c>
      <c r="P15" s="11"/>
      <c r="Q15" s="11"/>
      <c r="R15" s="11"/>
      <c r="S15" s="11"/>
      <c r="T15" s="11"/>
      <c r="U15" s="11"/>
      <c r="V15" s="11"/>
      <c r="W15" s="11"/>
      <c r="X15" s="11"/>
      <c r="Y15" s="11"/>
      <c r="Z15" s="11"/>
    </row>
    <row r="16" spans="1:26" ht="22.5" customHeight="1">
      <c r="A16" s="12" t="s">
        <v>361</v>
      </c>
      <c r="B16" s="11"/>
      <c r="C16" s="11"/>
      <c r="D16" s="12" t="s">
        <v>362</v>
      </c>
      <c r="E16" s="11"/>
      <c r="F16" s="12" t="s">
        <v>363</v>
      </c>
      <c r="G16" s="12" t="s">
        <v>364</v>
      </c>
      <c r="H16" s="11"/>
      <c r="I16" s="11"/>
      <c r="J16" s="11"/>
      <c r="K16" s="11"/>
      <c r="L16" s="11"/>
      <c r="M16" s="12" t="s">
        <v>365</v>
      </c>
      <c r="N16" s="12" t="s">
        <v>366</v>
      </c>
      <c r="O16" s="12" t="s">
        <v>367</v>
      </c>
      <c r="P16" s="11"/>
      <c r="Q16" s="11"/>
      <c r="R16" s="11"/>
      <c r="S16" s="11"/>
      <c r="T16" s="11"/>
      <c r="U16" s="11"/>
      <c r="V16" s="11"/>
      <c r="W16" s="11"/>
      <c r="X16" s="11"/>
      <c r="Y16" s="11"/>
      <c r="Z16" s="11"/>
    </row>
    <row r="17" spans="1:26" ht="22.5" customHeight="1">
      <c r="A17" s="11"/>
      <c r="B17" s="11"/>
      <c r="C17" s="11"/>
      <c r="D17" s="12" t="s">
        <v>368</v>
      </c>
      <c r="E17" s="11"/>
      <c r="F17" s="12" t="s">
        <v>369</v>
      </c>
      <c r="G17" s="12" t="s">
        <v>370</v>
      </c>
      <c r="H17" s="11"/>
      <c r="I17" s="11"/>
      <c r="J17" s="11"/>
      <c r="K17" s="11"/>
      <c r="L17" s="11"/>
      <c r="M17" s="12" t="s">
        <v>371</v>
      </c>
      <c r="N17" s="12" t="s">
        <v>372</v>
      </c>
      <c r="O17" s="12" t="s">
        <v>373</v>
      </c>
      <c r="P17" s="11"/>
      <c r="Q17" s="11"/>
      <c r="R17" s="11"/>
      <c r="S17" s="11"/>
      <c r="T17" s="11"/>
      <c r="U17" s="11"/>
      <c r="V17" s="11"/>
      <c r="W17" s="11"/>
      <c r="X17" s="11"/>
      <c r="Y17" s="11"/>
      <c r="Z17" s="11"/>
    </row>
    <row r="18" spans="1:26" ht="22.5" customHeight="1">
      <c r="A18" s="11"/>
      <c r="B18" s="11"/>
      <c r="C18" s="11"/>
      <c r="D18" s="12" t="s">
        <v>374</v>
      </c>
      <c r="E18" s="11"/>
      <c r="F18" s="12" t="s">
        <v>375</v>
      </c>
      <c r="G18" s="12" t="s">
        <v>376</v>
      </c>
      <c r="H18" s="11"/>
      <c r="I18" s="11"/>
      <c r="J18" s="11"/>
      <c r="K18" s="11"/>
      <c r="L18" s="11"/>
      <c r="M18" s="12" t="s">
        <v>377</v>
      </c>
      <c r="N18" s="11"/>
      <c r="O18" s="11"/>
      <c r="P18" s="11"/>
      <c r="Q18" s="11"/>
      <c r="R18" s="11"/>
      <c r="S18" s="11"/>
      <c r="T18" s="11"/>
      <c r="U18" s="11"/>
      <c r="V18" s="11"/>
      <c r="W18" s="11"/>
      <c r="X18" s="11"/>
      <c r="Y18" s="11"/>
      <c r="Z18" s="11"/>
    </row>
    <row r="19" spans="1:26" ht="22.5" customHeight="1">
      <c r="A19" s="11"/>
      <c r="B19" s="11"/>
      <c r="C19" s="11"/>
      <c r="D19" s="12" t="s">
        <v>378</v>
      </c>
      <c r="E19" s="11"/>
      <c r="F19" s="12" t="s">
        <v>379</v>
      </c>
      <c r="G19" s="12" t="s">
        <v>380</v>
      </c>
      <c r="H19" s="11"/>
      <c r="I19" s="11"/>
      <c r="J19" s="11"/>
      <c r="K19" s="11"/>
      <c r="L19" s="11"/>
      <c r="M19" s="12" t="s">
        <v>381</v>
      </c>
      <c r="N19" s="11"/>
      <c r="O19" s="11"/>
      <c r="P19" s="11"/>
      <c r="Q19" s="11"/>
      <c r="R19" s="11"/>
      <c r="S19" s="11"/>
      <c r="T19" s="11"/>
      <c r="U19" s="11"/>
      <c r="V19" s="11"/>
      <c r="W19" s="11"/>
      <c r="X19" s="11"/>
      <c r="Y19" s="11"/>
      <c r="Z19" s="11"/>
    </row>
    <row r="20" spans="1:26" ht="22.5" customHeight="1">
      <c r="A20" s="11"/>
      <c r="B20" s="11"/>
      <c r="C20" s="11"/>
      <c r="D20" s="12" t="s">
        <v>382</v>
      </c>
      <c r="E20" s="11"/>
      <c r="F20" s="12" t="s">
        <v>383</v>
      </c>
      <c r="G20" s="12" t="s">
        <v>384</v>
      </c>
      <c r="H20" s="11"/>
      <c r="I20" s="11"/>
      <c r="J20" s="11"/>
      <c r="K20" s="11"/>
      <c r="L20" s="11"/>
      <c r="M20" s="12" t="s">
        <v>385</v>
      </c>
      <c r="N20" s="11"/>
      <c r="O20" s="11"/>
      <c r="P20" s="11"/>
      <c r="Q20" s="11"/>
      <c r="R20" s="11"/>
      <c r="S20" s="11"/>
      <c r="T20" s="11"/>
      <c r="U20" s="11"/>
      <c r="V20" s="11"/>
      <c r="W20" s="11"/>
      <c r="X20" s="11"/>
      <c r="Y20" s="11"/>
      <c r="Z20" s="11"/>
    </row>
    <row r="21" spans="1:26" ht="22.5" customHeight="1">
      <c r="A21" s="11"/>
      <c r="B21" s="11"/>
      <c r="C21" s="11"/>
      <c r="D21" s="12" t="s">
        <v>386</v>
      </c>
      <c r="E21" s="11"/>
      <c r="F21" s="12" t="s">
        <v>387</v>
      </c>
      <c r="G21" s="12" t="s">
        <v>388</v>
      </c>
      <c r="H21" s="11"/>
      <c r="I21" s="11"/>
      <c r="J21" s="11"/>
      <c r="K21" s="11"/>
      <c r="L21" s="11"/>
      <c r="M21" s="12" t="s">
        <v>389</v>
      </c>
      <c r="N21" s="11"/>
      <c r="O21" s="11"/>
      <c r="P21" s="11"/>
      <c r="Q21" s="11"/>
      <c r="R21" s="11"/>
      <c r="S21" s="11"/>
      <c r="T21" s="11"/>
      <c r="U21" s="11"/>
      <c r="V21" s="11"/>
      <c r="W21" s="11"/>
      <c r="X21" s="11"/>
      <c r="Y21" s="11"/>
      <c r="Z21" s="11"/>
    </row>
    <row r="22" spans="1:26" ht="22.5" customHeight="1">
      <c r="A22" s="11"/>
      <c r="B22" s="11"/>
      <c r="C22" s="11"/>
      <c r="D22" s="12" t="s">
        <v>390</v>
      </c>
      <c r="E22" s="11"/>
      <c r="F22" s="12" t="s">
        <v>391</v>
      </c>
      <c r="G22" s="12" t="s">
        <v>246</v>
      </c>
      <c r="H22" s="11"/>
      <c r="I22" s="11"/>
      <c r="J22" s="11"/>
      <c r="K22" s="11"/>
      <c r="L22" s="11"/>
      <c r="M22" s="12" t="s">
        <v>392</v>
      </c>
      <c r="N22" s="11"/>
      <c r="O22" s="11"/>
      <c r="P22" s="11"/>
      <c r="Q22" s="11"/>
      <c r="R22" s="11"/>
      <c r="S22" s="11"/>
      <c r="T22" s="11"/>
      <c r="U22" s="11"/>
      <c r="V22" s="11"/>
      <c r="W22" s="11"/>
      <c r="X22" s="11"/>
      <c r="Y22" s="11"/>
      <c r="Z22" s="11"/>
    </row>
    <row r="23" spans="1:26" ht="22.5" customHeight="1">
      <c r="A23" s="11"/>
      <c r="B23" s="11"/>
      <c r="C23" s="11"/>
      <c r="D23" s="12" t="s">
        <v>393</v>
      </c>
      <c r="E23" s="11"/>
      <c r="F23" s="12" t="s">
        <v>394</v>
      </c>
      <c r="G23" s="12" t="s">
        <v>395</v>
      </c>
      <c r="H23" s="11"/>
      <c r="I23" s="11"/>
      <c r="J23" s="11"/>
      <c r="K23" s="11"/>
      <c r="L23" s="11"/>
      <c r="M23" s="12" t="s">
        <v>396</v>
      </c>
      <c r="N23" s="11"/>
      <c r="O23" s="11"/>
      <c r="P23" s="11"/>
      <c r="Q23" s="11"/>
      <c r="R23" s="11"/>
      <c r="S23" s="11"/>
      <c r="T23" s="11"/>
      <c r="U23" s="11"/>
      <c r="V23" s="11"/>
      <c r="W23" s="11"/>
      <c r="X23" s="11"/>
      <c r="Y23" s="11"/>
      <c r="Z23" s="11"/>
    </row>
    <row r="24" spans="1:26" ht="22.5" customHeight="1">
      <c r="A24" s="11"/>
      <c r="B24" s="11"/>
      <c r="C24" s="11"/>
      <c r="D24" s="12" t="s">
        <v>397</v>
      </c>
      <c r="E24" s="11"/>
      <c r="F24" s="12" t="s">
        <v>398</v>
      </c>
      <c r="G24" s="12" t="s">
        <v>399</v>
      </c>
      <c r="H24" s="11"/>
      <c r="I24" s="11"/>
      <c r="J24" s="11"/>
      <c r="K24" s="11"/>
      <c r="L24" s="11"/>
      <c r="M24" s="12" t="s">
        <v>400</v>
      </c>
      <c r="N24" s="11"/>
      <c r="O24" s="11"/>
      <c r="P24" s="11"/>
      <c r="Q24" s="11"/>
      <c r="R24" s="11"/>
      <c r="S24" s="11"/>
      <c r="T24" s="11"/>
      <c r="U24" s="11"/>
      <c r="V24" s="11"/>
      <c r="W24" s="11"/>
      <c r="X24" s="11"/>
      <c r="Y24" s="11"/>
      <c r="Z24" s="11"/>
    </row>
    <row r="25" spans="1:26" ht="22.5" customHeight="1">
      <c r="A25" s="11"/>
      <c r="B25" s="11"/>
      <c r="C25" s="11"/>
      <c r="D25" s="12" t="s">
        <v>401</v>
      </c>
      <c r="E25" s="11"/>
      <c r="F25" s="12" t="s">
        <v>256</v>
      </c>
      <c r="G25" s="12" t="s">
        <v>402</v>
      </c>
      <c r="H25" s="11"/>
      <c r="I25" s="11"/>
      <c r="J25" s="11"/>
      <c r="K25" s="11"/>
      <c r="L25" s="11"/>
      <c r="M25" s="12" t="s">
        <v>403</v>
      </c>
      <c r="N25" s="11"/>
      <c r="O25" s="11"/>
      <c r="P25" s="11"/>
      <c r="Q25" s="11"/>
      <c r="R25" s="11"/>
      <c r="S25" s="11"/>
      <c r="T25" s="11"/>
      <c r="U25" s="11"/>
      <c r="V25" s="11"/>
      <c r="W25" s="11"/>
      <c r="X25" s="11"/>
      <c r="Y25" s="11"/>
      <c r="Z25" s="11"/>
    </row>
    <row r="26" spans="1:26" ht="22.5" customHeight="1">
      <c r="A26" s="11"/>
      <c r="B26" s="11"/>
      <c r="C26" s="11"/>
      <c r="D26" s="12" t="s">
        <v>255</v>
      </c>
      <c r="E26" s="11"/>
      <c r="F26" s="12" t="s">
        <v>404</v>
      </c>
      <c r="G26" s="12" t="s">
        <v>195</v>
      </c>
      <c r="H26" s="11"/>
      <c r="I26" s="11"/>
      <c r="J26" s="11"/>
      <c r="K26" s="11"/>
      <c r="L26" s="11"/>
      <c r="M26" s="12" t="s">
        <v>405</v>
      </c>
      <c r="N26" s="11"/>
      <c r="O26" s="11"/>
      <c r="P26" s="11"/>
      <c r="Q26" s="11"/>
      <c r="R26" s="11"/>
      <c r="S26" s="11"/>
      <c r="T26" s="11"/>
      <c r="U26" s="11"/>
      <c r="V26" s="11"/>
      <c r="W26" s="11"/>
      <c r="X26" s="11"/>
      <c r="Y26" s="11"/>
      <c r="Z26" s="11"/>
    </row>
    <row r="27" spans="1:26" ht="22.5" customHeight="1">
      <c r="A27" s="11"/>
      <c r="B27" s="11"/>
      <c r="C27" s="11"/>
      <c r="D27" s="12" t="s">
        <v>406</v>
      </c>
      <c r="E27" s="11"/>
      <c r="F27" s="12" t="s">
        <v>407</v>
      </c>
      <c r="G27" s="12" t="s">
        <v>408</v>
      </c>
      <c r="H27" s="11"/>
      <c r="I27" s="11"/>
      <c r="J27" s="11"/>
      <c r="K27" s="11"/>
      <c r="L27" s="11"/>
      <c r="M27" s="12" t="s">
        <v>409</v>
      </c>
      <c r="N27" s="11"/>
      <c r="O27" s="11"/>
      <c r="P27" s="11"/>
      <c r="Q27" s="11"/>
      <c r="R27" s="11"/>
      <c r="S27" s="11"/>
      <c r="T27" s="11"/>
      <c r="U27" s="11"/>
      <c r="V27" s="11"/>
      <c r="W27" s="11"/>
      <c r="X27" s="11"/>
      <c r="Y27" s="11"/>
      <c r="Z27" s="11"/>
    </row>
    <row r="28" spans="1:26" ht="22.5" customHeight="1">
      <c r="A28" s="11"/>
      <c r="B28" s="11"/>
      <c r="C28" s="11"/>
      <c r="D28" s="12" t="s">
        <v>410</v>
      </c>
      <c r="E28" s="11"/>
      <c r="F28" s="12" t="s">
        <v>245</v>
      </c>
      <c r="G28" s="12" t="s">
        <v>411</v>
      </c>
      <c r="H28" s="11"/>
      <c r="I28" s="11"/>
      <c r="J28" s="11"/>
      <c r="K28" s="11"/>
      <c r="L28" s="11"/>
      <c r="M28" s="12" t="s">
        <v>412</v>
      </c>
      <c r="N28" s="11"/>
      <c r="O28" s="11"/>
      <c r="P28" s="11"/>
      <c r="Q28" s="11"/>
      <c r="R28" s="11"/>
      <c r="S28" s="11"/>
      <c r="T28" s="11"/>
      <c r="U28" s="11"/>
      <c r="V28" s="11"/>
      <c r="W28" s="11"/>
      <c r="X28" s="11"/>
      <c r="Y28" s="11"/>
      <c r="Z28" s="11"/>
    </row>
    <row r="29" spans="1:26" ht="22.5" customHeight="1">
      <c r="A29" s="11"/>
      <c r="B29" s="11"/>
      <c r="C29" s="11"/>
      <c r="D29" s="12" t="s">
        <v>244</v>
      </c>
      <c r="E29" s="11"/>
      <c r="F29" s="12" t="s">
        <v>413</v>
      </c>
      <c r="G29" s="12" t="s">
        <v>414</v>
      </c>
      <c r="H29" s="11"/>
      <c r="I29" s="11"/>
      <c r="J29" s="11"/>
      <c r="K29" s="11"/>
      <c r="L29" s="11"/>
      <c r="M29" s="12" t="s">
        <v>415</v>
      </c>
      <c r="N29" s="11"/>
      <c r="O29" s="11"/>
      <c r="P29" s="11"/>
      <c r="Q29" s="11"/>
      <c r="R29" s="11"/>
      <c r="S29" s="11"/>
      <c r="T29" s="11"/>
      <c r="U29" s="11"/>
      <c r="V29" s="11"/>
      <c r="W29" s="11"/>
      <c r="X29" s="11"/>
      <c r="Y29" s="11"/>
      <c r="Z29" s="11"/>
    </row>
    <row r="30" spans="1:26" ht="22.5" customHeight="1">
      <c r="A30" s="11"/>
      <c r="B30" s="11"/>
      <c r="C30" s="11"/>
      <c r="D30" s="12" t="s">
        <v>235</v>
      </c>
      <c r="E30" s="11"/>
      <c r="F30" s="12" t="s">
        <v>416</v>
      </c>
      <c r="G30" s="12" t="s">
        <v>241</v>
      </c>
      <c r="H30" s="11"/>
      <c r="I30" s="11"/>
      <c r="J30" s="11"/>
      <c r="K30" s="11"/>
      <c r="L30" s="11"/>
      <c r="M30" s="12" t="s">
        <v>417</v>
      </c>
      <c r="N30" s="11"/>
      <c r="O30" s="11"/>
      <c r="P30" s="11"/>
      <c r="Q30" s="11"/>
      <c r="R30" s="11"/>
      <c r="S30" s="11"/>
      <c r="T30" s="11"/>
      <c r="U30" s="11"/>
      <c r="V30" s="11"/>
      <c r="W30" s="11"/>
      <c r="X30" s="11"/>
      <c r="Y30" s="11"/>
      <c r="Z30" s="11"/>
    </row>
    <row r="31" spans="1:26" ht="22.5" customHeight="1">
      <c r="A31" s="11"/>
      <c r="B31" s="11"/>
      <c r="C31" s="11"/>
      <c r="D31" s="12" t="s">
        <v>418</v>
      </c>
      <c r="E31" s="11"/>
      <c r="F31" s="12" t="s">
        <v>419</v>
      </c>
      <c r="G31" s="12" t="s">
        <v>420</v>
      </c>
      <c r="H31" s="11"/>
      <c r="I31" s="11"/>
      <c r="J31" s="11"/>
      <c r="K31" s="11"/>
      <c r="L31" s="11"/>
      <c r="M31" s="12" t="s">
        <v>421</v>
      </c>
      <c r="N31" s="11"/>
      <c r="O31" s="11"/>
      <c r="P31" s="11"/>
      <c r="Q31" s="11"/>
      <c r="R31" s="11"/>
      <c r="S31" s="11"/>
      <c r="T31" s="11"/>
      <c r="U31" s="11"/>
      <c r="V31" s="11"/>
      <c r="W31" s="11"/>
      <c r="X31" s="11"/>
      <c r="Y31" s="11"/>
      <c r="Z31" s="11"/>
    </row>
    <row r="32" spans="1:26" ht="22.5" customHeight="1">
      <c r="A32" s="11"/>
      <c r="B32" s="11"/>
      <c r="C32" s="11"/>
      <c r="D32" s="12" t="s">
        <v>422</v>
      </c>
      <c r="E32" s="11"/>
      <c r="F32" s="12" t="s">
        <v>423</v>
      </c>
      <c r="G32" s="12" t="s">
        <v>257</v>
      </c>
      <c r="H32" s="11"/>
      <c r="I32" s="11"/>
      <c r="J32" s="11"/>
      <c r="K32" s="11"/>
      <c r="L32" s="11"/>
      <c r="M32" s="12" t="s">
        <v>424</v>
      </c>
      <c r="N32" s="11"/>
      <c r="O32" s="11"/>
      <c r="P32" s="11"/>
      <c r="Q32" s="11"/>
      <c r="R32" s="11"/>
      <c r="S32" s="11"/>
      <c r="T32" s="11"/>
      <c r="U32" s="11"/>
      <c r="V32" s="11"/>
      <c r="W32" s="11"/>
      <c r="X32" s="11"/>
      <c r="Y32" s="11"/>
      <c r="Z32" s="11"/>
    </row>
    <row r="33" spans="1:26" ht="22.5" customHeight="1">
      <c r="A33" s="11"/>
      <c r="B33" s="11"/>
      <c r="C33" s="11"/>
      <c r="D33" s="12" t="s">
        <v>328</v>
      </c>
      <c r="E33" s="11"/>
      <c r="F33" s="12" t="s">
        <v>425</v>
      </c>
      <c r="G33" s="12" t="s">
        <v>426</v>
      </c>
      <c r="H33" s="11"/>
      <c r="I33" s="11"/>
      <c r="J33" s="11"/>
      <c r="K33" s="11"/>
      <c r="L33" s="11"/>
      <c r="M33" s="12" t="s">
        <v>427</v>
      </c>
      <c r="N33" s="11"/>
      <c r="O33" s="11"/>
      <c r="P33" s="11"/>
      <c r="Q33" s="11"/>
      <c r="R33" s="11"/>
      <c r="S33" s="11"/>
      <c r="T33" s="11"/>
      <c r="U33" s="11"/>
      <c r="V33" s="11"/>
      <c r="W33" s="11"/>
      <c r="X33" s="11"/>
      <c r="Y33" s="11"/>
      <c r="Z33" s="11"/>
    </row>
    <row r="34" spans="1:26" ht="22.5" customHeight="1">
      <c r="A34" s="11"/>
      <c r="B34" s="11"/>
      <c r="C34" s="11"/>
      <c r="D34" s="12" t="s">
        <v>428</v>
      </c>
      <c r="E34" s="11"/>
      <c r="F34" s="12" t="s">
        <v>429</v>
      </c>
      <c r="G34" s="12" t="s">
        <v>430</v>
      </c>
      <c r="H34" s="11"/>
      <c r="I34" s="11"/>
      <c r="J34" s="11"/>
      <c r="K34" s="11"/>
      <c r="L34" s="11"/>
      <c r="M34" s="12" t="s">
        <v>431</v>
      </c>
      <c r="N34" s="11"/>
      <c r="O34" s="11"/>
      <c r="P34" s="11"/>
      <c r="Q34" s="11"/>
      <c r="R34" s="11"/>
      <c r="S34" s="11"/>
      <c r="T34" s="11"/>
      <c r="U34" s="11"/>
      <c r="V34" s="11"/>
      <c r="W34" s="11"/>
      <c r="X34" s="11"/>
      <c r="Y34" s="11"/>
      <c r="Z34" s="11"/>
    </row>
    <row r="35" spans="1:26" ht="22.5" customHeight="1">
      <c r="A35" s="11"/>
      <c r="B35" s="11"/>
      <c r="C35" s="11"/>
      <c r="D35" s="12" t="s">
        <v>335</v>
      </c>
      <c r="E35" s="11"/>
      <c r="F35" s="12" t="s">
        <v>249</v>
      </c>
      <c r="G35" s="12" t="s">
        <v>432</v>
      </c>
      <c r="H35" s="11"/>
      <c r="I35" s="11"/>
      <c r="J35" s="11"/>
      <c r="K35" s="11"/>
      <c r="L35" s="11"/>
      <c r="M35" s="12" t="s">
        <v>433</v>
      </c>
      <c r="N35" s="11"/>
      <c r="O35" s="11"/>
      <c r="P35" s="11"/>
      <c r="Q35" s="11"/>
      <c r="R35" s="11"/>
      <c r="S35" s="11"/>
      <c r="T35" s="11"/>
      <c r="U35" s="11"/>
      <c r="V35" s="11"/>
      <c r="W35" s="11"/>
      <c r="X35" s="11"/>
      <c r="Y35" s="11"/>
      <c r="Z35" s="11"/>
    </row>
    <row r="36" spans="1:26" ht="22.5" customHeight="1">
      <c r="A36" s="11"/>
      <c r="B36" s="11"/>
      <c r="C36" s="11"/>
      <c r="D36" s="12" t="s">
        <v>434</v>
      </c>
      <c r="E36" s="11"/>
      <c r="F36" s="12" t="s">
        <v>435</v>
      </c>
      <c r="G36" s="12" t="s">
        <v>436</v>
      </c>
      <c r="H36" s="11"/>
      <c r="I36" s="11"/>
      <c r="J36" s="11"/>
      <c r="K36" s="11"/>
      <c r="L36" s="11"/>
      <c r="M36" s="12" t="s">
        <v>437</v>
      </c>
      <c r="N36" s="11"/>
      <c r="O36" s="11"/>
      <c r="P36" s="11"/>
      <c r="Q36" s="11"/>
      <c r="R36" s="11"/>
      <c r="S36" s="11"/>
      <c r="T36" s="11"/>
      <c r="U36" s="11"/>
      <c r="V36" s="11"/>
      <c r="W36" s="11"/>
      <c r="X36" s="11"/>
      <c r="Y36" s="11"/>
      <c r="Z36" s="11"/>
    </row>
    <row r="37" spans="1:26" ht="22.5" customHeight="1">
      <c r="A37" s="11"/>
      <c r="B37" s="11"/>
      <c r="C37" s="11"/>
      <c r="D37" s="12" t="s">
        <v>438</v>
      </c>
      <c r="E37" s="11"/>
      <c r="F37" s="12" t="s">
        <v>439</v>
      </c>
      <c r="G37" s="12" t="s">
        <v>440</v>
      </c>
      <c r="H37" s="11"/>
      <c r="I37" s="11"/>
      <c r="J37" s="11"/>
      <c r="K37" s="11"/>
      <c r="L37" s="11"/>
      <c r="M37" s="12" t="s">
        <v>441</v>
      </c>
      <c r="N37" s="11"/>
      <c r="O37" s="11"/>
      <c r="P37" s="11"/>
      <c r="Q37" s="11"/>
      <c r="R37" s="11"/>
      <c r="S37" s="11"/>
      <c r="T37" s="11"/>
      <c r="U37" s="11"/>
      <c r="V37" s="11"/>
      <c r="W37" s="11"/>
      <c r="X37" s="11"/>
      <c r="Y37" s="11"/>
      <c r="Z37" s="11"/>
    </row>
    <row r="38" spans="1:26" ht="22.5" customHeight="1">
      <c r="A38" s="11"/>
      <c r="B38" s="11"/>
      <c r="C38" s="11"/>
      <c r="D38" s="12" t="s">
        <v>442</v>
      </c>
      <c r="E38" s="11"/>
      <c r="F38" s="12" t="s">
        <v>443</v>
      </c>
      <c r="G38" s="12" t="s">
        <v>444</v>
      </c>
      <c r="H38" s="11"/>
      <c r="I38" s="11"/>
      <c r="J38" s="11"/>
      <c r="K38" s="11"/>
      <c r="L38" s="11"/>
      <c r="M38" s="12" t="s">
        <v>445</v>
      </c>
      <c r="N38" s="11"/>
      <c r="O38" s="11"/>
      <c r="P38" s="11"/>
      <c r="Q38" s="11"/>
      <c r="R38" s="11"/>
      <c r="S38" s="11"/>
      <c r="T38" s="11"/>
      <c r="U38" s="11"/>
      <c r="V38" s="11"/>
      <c r="W38" s="11"/>
      <c r="X38" s="11"/>
      <c r="Y38" s="11"/>
      <c r="Z38" s="11"/>
    </row>
    <row r="39" spans="1:26" ht="22.5" customHeight="1">
      <c r="A39" s="11"/>
      <c r="B39" s="11"/>
      <c r="C39" s="11"/>
      <c r="D39" s="12" t="s">
        <v>248</v>
      </c>
      <c r="E39" s="11"/>
      <c r="F39" s="12" t="s">
        <v>446</v>
      </c>
      <c r="G39" s="12" t="s">
        <v>250</v>
      </c>
      <c r="H39" s="11"/>
      <c r="I39" s="11"/>
      <c r="J39" s="11"/>
      <c r="K39" s="11"/>
      <c r="L39" s="11"/>
      <c r="M39" s="12" t="s">
        <v>447</v>
      </c>
      <c r="N39" s="11"/>
      <c r="O39" s="11"/>
      <c r="P39" s="11"/>
      <c r="Q39" s="11"/>
      <c r="R39" s="11"/>
      <c r="S39" s="11"/>
      <c r="T39" s="11"/>
      <c r="U39" s="11"/>
      <c r="V39" s="11"/>
      <c r="W39" s="11"/>
      <c r="X39" s="11"/>
      <c r="Y39" s="11"/>
      <c r="Z39" s="11"/>
    </row>
    <row r="40" spans="1:26" ht="22.5" customHeight="1">
      <c r="A40" s="11"/>
      <c r="B40" s="11"/>
      <c r="C40" s="11"/>
      <c r="D40" s="12" t="s">
        <v>448</v>
      </c>
      <c r="E40" s="11"/>
      <c r="F40" s="12" t="s">
        <v>449</v>
      </c>
      <c r="G40" s="12" t="s">
        <v>450</v>
      </c>
      <c r="H40" s="11"/>
      <c r="I40" s="11"/>
      <c r="J40" s="11"/>
      <c r="K40" s="11"/>
      <c r="L40" s="11"/>
      <c r="M40" s="12" t="s">
        <v>451</v>
      </c>
      <c r="N40" s="11"/>
      <c r="O40" s="11"/>
      <c r="P40" s="11"/>
      <c r="Q40" s="11"/>
      <c r="R40" s="11"/>
      <c r="S40" s="11"/>
      <c r="T40" s="11"/>
      <c r="U40" s="11"/>
      <c r="V40" s="11"/>
      <c r="W40" s="11"/>
      <c r="X40" s="11"/>
      <c r="Y40" s="11"/>
      <c r="Z40" s="11"/>
    </row>
    <row r="41" spans="1:26" ht="22.5" customHeight="1">
      <c r="A41" s="11"/>
      <c r="B41" s="11"/>
      <c r="C41" s="11"/>
      <c r="D41" s="12" t="s">
        <v>452</v>
      </c>
      <c r="E41" s="11"/>
      <c r="F41" s="12" t="s">
        <v>240</v>
      </c>
      <c r="G41" s="12" t="s">
        <v>453</v>
      </c>
      <c r="H41" s="11"/>
      <c r="I41" s="11"/>
      <c r="J41" s="11"/>
      <c r="K41" s="11"/>
      <c r="L41" s="11"/>
      <c r="M41" s="12" t="s">
        <v>454</v>
      </c>
      <c r="N41" s="11"/>
      <c r="O41" s="11"/>
      <c r="P41" s="11"/>
      <c r="Q41" s="11"/>
      <c r="R41" s="11"/>
      <c r="S41" s="11"/>
      <c r="T41" s="11"/>
      <c r="U41" s="11"/>
      <c r="V41" s="11"/>
      <c r="W41" s="11"/>
      <c r="X41" s="11"/>
      <c r="Y41" s="11"/>
      <c r="Z41" s="11"/>
    </row>
    <row r="42" spans="1:26" ht="22.5" customHeight="1">
      <c r="A42" s="11"/>
      <c r="B42" s="11"/>
      <c r="C42" s="11"/>
      <c r="D42" s="12" t="s">
        <v>455</v>
      </c>
      <c r="E42" s="11"/>
      <c r="F42" s="12" t="s">
        <v>262</v>
      </c>
      <c r="G42" s="12" t="s">
        <v>456</v>
      </c>
      <c r="H42" s="11"/>
      <c r="I42" s="11"/>
      <c r="J42" s="11"/>
      <c r="K42" s="11"/>
      <c r="L42" s="11"/>
      <c r="M42" s="12" t="s">
        <v>457</v>
      </c>
      <c r="N42" s="11"/>
      <c r="O42" s="11"/>
      <c r="P42" s="11"/>
      <c r="Q42" s="11"/>
      <c r="R42" s="11"/>
      <c r="S42" s="11"/>
      <c r="T42" s="11"/>
      <c r="U42" s="11"/>
      <c r="V42" s="11"/>
      <c r="W42" s="11"/>
      <c r="X42" s="11"/>
      <c r="Y42" s="11"/>
      <c r="Z42" s="11"/>
    </row>
    <row r="43" spans="1:26" ht="22.5" customHeight="1">
      <c r="A43" s="11"/>
      <c r="B43" s="11"/>
      <c r="C43" s="11"/>
      <c r="D43" s="12" t="s">
        <v>458</v>
      </c>
      <c r="E43" s="11"/>
      <c r="F43" s="12" t="s">
        <v>459</v>
      </c>
      <c r="G43" s="12" t="s">
        <v>460</v>
      </c>
      <c r="H43" s="11"/>
      <c r="I43" s="11"/>
      <c r="J43" s="11"/>
      <c r="K43" s="11"/>
      <c r="L43" s="11"/>
      <c r="M43" s="12" t="s">
        <v>461</v>
      </c>
      <c r="N43" s="11"/>
      <c r="O43" s="11"/>
      <c r="P43" s="11"/>
      <c r="Q43" s="11"/>
      <c r="R43" s="11"/>
      <c r="S43" s="11"/>
      <c r="T43" s="11"/>
      <c r="U43" s="11"/>
      <c r="V43" s="11"/>
      <c r="W43" s="11"/>
      <c r="X43" s="11"/>
      <c r="Y43" s="11"/>
      <c r="Z43" s="11"/>
    </row>
    <row r="44" spans="1:26" ht="22.5" customHeight="1">
      <c r="A44" s="11"/>
      <c r="B44" s="11"/>
      <c r="C44" s="11"/>
      <c r="D44" s="12" t="s">
        <v>462</v>
      </c>
      <c r="E44" s="11"/>
      <c r="F44" s="12" t="s">
        <v>463</v>
      </c>
      <c r="G44" s="12" t="s">
        <v>464</v>
      </c>
      <c r="H44" s="11"/>
      <c r="I44" s="11"/>
      <c r="J44" s="11"/>
      <c r="K44" s="11"/>
      <c r="L44" s="11"/>
      <c r="M44" s="12" t="s">
        <v>465</v>
      </c>
      <c r="N44" s="11"/>
      <c r="O44" s="11"/>
      <c r="P44" s="11"/>
      <c r="Q44" s="11"/>
      <c r="R44" s="11"/>
      <c r="S44" s="11"/>
      <c r="T44" s="11"/>
      <c r="U44" s="11"/>
      <c r="V44" s="11"/>
      <c r="W44" s="11"/>
      <c r="X44" s="11"/>
      <c r="Y44" s="11"/>
      <c r="Z44" s="11"/>
    </row>
    <row r="45" spans="1:26" ht="22.5" customHeight="1">
      <c r="A45" s="11"/>
      <c r="B45" s="11"/>
      <c r="C45" s="11"/>
      <c r="D45" s="12" t="s">
        <v>239</v>
      </c>
      <c r="E45" s="11"/>
      <c r="F45" s="12" t="s">
        <v>466</v>
      </c>
      <c r="G45" s="12" t="s">
        <v>263</v>
      </c>
      <c r="H45" s="11"/>
      <c r="I45" s="11"/>
      <c r="J45" s="11"/>
      <c r="K45" s="11"/>
      <c r="L45" s="11"/>
      <c r="M45" s="12" t="s">
        <v>467</v>
      </c>
      <c r="N45" s="11"/>
      <c r="O45" s="11"/>
      <c r="P45" s="11"/>
      <c r="Q45" s="11"/>
      <c r="R45" s="11"/>
      <c r="S45" s="11"/>
      <c r="T45" s="11"/>
      <c r="U45" s="11"/>
      <c r="V45" s="11"/>
      <c r="W45" s="11"/>
      <c r="X45" s="11"/>
      <c r="Y45" s="11"/>
      <c r="Z45" s="11"/>
    </row>
    <row r="46" spans="1:26" ht="22.5" customHeight="1">
      <c r="A46" s="11"/>
      <c r="B46" s="11"/>
      <c r="C46" s="11"/>
      <c r="D46" s="12" t="s">
        <v>261</v>
      </c>
      <c r="E46" s="11"/>
      <c r="F46" s="12" t="s">
        <v>468</v>
      </c>
      <c r="G46" s="12" t="s">
        <v>178</v>
      </c>
      <c r="H46" s="11"/>
      <c r="I46" s="11"/>
      <c r="J46" s="11"/>
      <c r="K46" s="11"/>
      <c r="L46" s="11"/>
      <c r="M46" s="12" t="s">
        <v>469</v>
      </c>
      <c r="N46" s="11"/>
      <c r="O46" s="11"/>
      <c r="P46" s="11"/>
      <c r="Q46" s="11"/>
      <c r="R46" s="11"/>
      <c r="S46" s="11"/>
      <c r="T46" s="11"/>
      <c r="U46" s="11"/>
      <c r="V46" s="11"/>
      <c r="W46" s="11"/>
      <c r="X46" s="11"/>
      <c r="Y46" s="11"/>
      <c r="Z46" s="11"/>
    </row>
    <row r="47" spans="1:26" ht="22.5" customHeight="1">
      <c r="A47" s="11"/>
      <c r="B47" s="11"/>
      <c r="C47" s="11"/>
      <c r="D47" s="12" t="s">
        <v>470</v>
      </c>
      <c r="E47" s="11"/>
      <c r="F47" s="12" t="s">
        <v>471</v>
      </c>
      <c r="G47" s="12" t="s">
        <v>472</v>
      </c>
      <c r="H47" s="11"/>
      <c r="I47" s="11"/>
      <c r="J47" s="11"/>
      <c r="K47" s="11"/>
      <c r="L47" s="11"/>
      <c r="M47" s="12" t="s">
        <v>473</v>
      </c>
      <c r="N47" s="11"/>
      <c r="O47" s="11"/>
      <c r="P47" s="11"/>
      <c r="Q47" s="11"/>
      <c r="R47" s="11"/>
      <c r="S47" s="11"/>
      <c r="T47" s="11"/>
      <c r="U47" s="11"/>
      <c r="V47" s="11"/>
      <c r="W47" s="11"/>
      <c r="X47" s="11"/>
      <c r="Y47" s="11"/>
      <c r="Z47" s="11"/>
    </row>
    <row r="48" spans="1:26" ht="22.5" customHeight="1">
      <c r="A48" s="11"/>
      <c r="B48" s="11"/>
      <c r="C48" s="11"/>
      <c r="D48" s="12" t="s">
        <v>474</v>
      </c>
      <c r="E48" s="11"/>
      <c r="F48" s="12" t="s">
        <v>475</v>
      </c>
      <c r="G48" s="12" t="s">
        <v>476</v>
      </c>
      <c r="H48" s="11"/>
      <c r="I48" s="11"/>
      <c r="J48" s="11"/>
      <c r="K48" s="11"/>
      <c r="L48" s="11"/>
      <c r="M48" s="12" t="s">
        <v>477</v>
      </c>
      <c r="N48" s="11"/>
      <c r="O48" s="11"/>
      <c r="P48" s="11"/>
      <c r="Q48" s="11"/>
      <c r="R48" s="11"/>
      <c r="S48" s="11"/>
      <c r="T48" s="11"/>
      <c r="U48" s="11"/>
      <c r="V48" s="11"/>
      <c r="W48" s="11"/>
      <c r="X48" s="11"/>
      <c r="Y48" s="11"/>
      <c r="Z48" s="11"/>
    </row>
    <row r="49" spans="1:26" ht="22.5" customHeight="1">
      <c r="A49" s="11"/>
      <c r="B49" s="11"/>
      <c r="C49" s="11"/>
      <c r="D49" s="12" t="s">
        <v>478</v>
      </c>
      <c r="E49" s="11"/>
      <c r="F49" s="12" t="s">
        <v>479</v>
      </c>
      <c r="G49" s="12" t="s">
        <v>480</v>
      </c>
      <c r="H49" s="11"/>
      <c r="I49" s="11"/>
      <c r="J49" s="11"/>
      <c r="K49" s="11"/>
      <c r="L49" s="11"/>
      <c r="M49" s="12" t="s">
        <v>481</v>
      </c>
      <c r="N49" s="11"/>
      <c r="O49" s="11"/>
      <c r="P49" s="11"/>
      <c r="Q49" s="11"/>
      <c r="R49" s="11"/>
      <c r="S49" s="11"/>
      <c r="T49" s="11"/>
      <c r="U49" s="11"/>
      <c r="V49" s="11"/>
      <c r="W49" s="11"/>
      <c r="X49" s="11"/>
      <c r="Y49" s="11"/>
      <c r="Z49" s="11"/>
    </row>
    <row r="50" spans="1:26" ht="22.5" customHeight="1">
      <c r="A50" s="11"/>
      <c r="B50" s="11"/>
      <c r="C50" s="11"/>
      <c r="D50" s="12" t="s">
        <v>482</v>
      </c>
      <c r="E50" s="11"/>
      <c r="F50" s="12" t="s">
        <v>483</v>
      </c>
      <c r="G50" s="12" t="s">
        <v>484</v>
      </c>
      <c r="H50" s="11"/>
      <c r="I50" s="11"/>
      <c r="J50" s="11"/>
      <c r="K50" s="11"/>
      <c r="L50" s="11"/>
      <c r="M50" s="12" t="s">
        <v>485</v>
      </c>
      <c r="N50" s="11"/>
      <c r="O50" s="11"/>
      <c r="P50" s="11"/>
      <c r="Q50" s="11"/>
      <c r="R50" s="11"/>
      <c r="S50" s="11"/>
      <c r="T50" s="11"/>
      <c r="U50" s="11"/>
      <c r="V50" s="11"/>
      <c r="W50" s="11"/>
      <c r="X50" s="11"/>
      <c r="Y50" s="11"/>
      <c r="Z50" s="11"/>
    </row>
    <row r="51" spans="1:26" ht="22.5" customHeight="1">
      <c r="A51" s="11"/>
      <c r="B51" s="11"/>
      <c r="C51" s="11"/>
      <c r="D51" s="12" t="s">
        <v>486</v>
      </c>
      <c r="E51" s="11"/>
      <c r="F51" s="12" t="s">
        <v>487</v>
      </c>
      <c r="G51" s="12" t="s">
        <v>488</v>
      </c>
      <c r="H51" s="11"/>
      <c r="I51" s="11"/>
      <c r="J51" s="11"/>
      <c r="K51" s="11"/>
      <c r="L51" s="11"/>
      <c r="M51" s="12" t="s">
        <v>489</v>
      </c>
      <c r="N51" s="11"/>
      <c r="O51" s="11"/>
      <c r="P51" s="11"/>
      <c r="Q51" s="11"/>
      <c r="R51" s="11"/>
      <c r="S51" s="11"/>
      <c r="T51" s="11"/>
      <c r="U51" s="11"/>
      <c r="V51" s="11"/>
      <c r="W51" s="11"/>
      <c r="X51" s="11"/>
      <c r="Y51" s="11"/>
      <c r="Z51" s="11"/>
    </row>
    <row r="52" spans="1:26" ht="22.5" customHeight="1">
      <c r="A52" s="11"/>
      <c r="B52" s="11"/>
      <c r="C52" s="11"/>
      <c r="D52" s="12" t="s">
        <v>376</v>
      </c>
      <c r="E52" s="11"/>
      <c r="F52" s="12" t="s">
        <v>490</v>
      </c>
      <c r="G52" s="12" t="s">
        <v>491</v>
      </c>
      <c r="H52" s="11"/>
      <c r="I52" s="11"/>
      <c r="J52" s="11"/>
      <c r="K52" s="11"/>
      <c r="L52" s="11"/>
      <c r="M52" s="12" t="s">
        <v>492</v>
      </c>
      <c r="N52" s="11"/>
      <c r="O52" s="11"/>
      <c r="P52" s="11"/>
      <c r="Q52" s="11"/>
      <c r="R52" s="11"/>
      <c r="S52" s="11"/>
      <c r="T52" s="11"/>
      <c r="U52" s="11"/>
      <c r="V52" s="11"/>
      <c r="W52" s="11"/>
      <c r="X52" s="11"/>
      <c r="Y52" s="11"/>
      <c r="Z52" s="11"/>
    </row>
    <row r="53" spans="1:26" ht="22.5" customHeight="1">
      <c r="A53" s="11"/>
      <c r="B53" s="11"/>
      <c r="C53" s="11"/>
      <c r="D53" s="12" t="s">
        <v>493</v>
      </c>
      <c r="E53" s="11"/>
      <c r="F53" s="12" t="s">
        <v>494</v>
      </c>
      <c r="G53" s="12" t="s">
        <v>495</v>
      </c>
      <c r="H53" s="11"/>
      <c r="I53" s="11"/>
      <c r="J53" s="11"/>
      <c r="K53" s="11"/>
      <c r="L53" s="11"/>
      <c r="M53" s="11"/>
      <c r="N53" s="11"/>
      <c r="O53" s="11"/>
      <c r="P53" s="11"/>
      <c r="Q53" s="11"/>
      <c r="R53" s="11"/>
      <c r="S53" s="11"/>
      <c r="T53" s="11"/>
      <c r="U53" s="11"/>
      <c r="V53" s="11"/>
      <c r="W53" s="11"/>
      <c r="X53" s="11"/>
      <c r="Y53" s="11"/>
      <c r="Z53" s="11"/>
    </row>
    <row r="54" spans="1:26" ht="22.5" customHeight="1">
      <c r="A54" s="11"/>
      <c r="B54" s="11"/>
      <c r="C54" s="11"/>
      <c r="D54" s="12" t="s">
        <v>496</v>
      </c>
      <c r="E54" s="11"/>
      <c r="F54" s="12" t="s">
        <v>497</v>
      </c>
      <c r="G54" s="12" t="s">
        <v>498</v>
      </c>
      <c r="H54" s="11"/>
      <c r="I54" s="11"/>
      <c r="J54" s="11"/>
      <c r="K54" s="11"/>
      <c r="L54" s="11"/>
      <c r="M54" s="11"/>
      <c r="N54" s="11"/>
      <c r="O54" s="11"/>
      <c r="P54" s="11"/>
      <c r="Q54" s="11"/>
      <c r="R54" s="11"/>
      <c r="S54" s="11"/>
      <c r="T54" s="11"/>
      <c r="U54" s="11"/>
      <c r="V54" s="11"/>
      <c r="W54" s="11"/>
      <c r="X54" s="11"/>
      <c r="Y54" s="11"/>
      <c r="Z54" s="11"/>
    </row>
    <row r="55" spans="1:26" ht="22.5" customHeight="1">
      <c r="A55" s="11"/>
      <c r="B55" s="11"/>
      <c r="C55" s="11"/>
      <c r="D55" s="12" t="s">
        <v>380</v>
      </c>
      <c r="E55" s="11"/>
      <c r="F55" s="12" t="s">
        <v>499</v>
      </c>
      <c r="G55" s="12" t="s">
        <v>500</v>
      </c>
      <c r="H55" s="11"/>
      <c r="I55" s="11"/>
      <c r="J55" s="11"/>
      <c r="K55" s="11"/>
      <c r="L55" s="11"/>
      <c r="M55" s="11"/>
      <c r="N55" s="11"/>
      <c r="O55" s="11"/>
      <c r="P55" s="11"/>
      <c r="Q55" s="11"/>
      <c r="R55" s="11"/>
      <c r="S55" s="11"/>
      <c r="T55" s="11"/>
      <c r="U55" s="11"/>
      <c r="V55" s="11"/>
      <c r="W55" s="11"/>
      <c r="X55" s="11"/>
      <c r="Y55" s="11"/>
      <c r="Z55" s="11"/>
    </row>
    <row r="56" spans="1:26" ht="22.5" customHeight="1">
      <c r="A56" s="11"/>
      <c r="B56" s="11"/>
      <c r="C56" s="11"/>
      <c r="D56" s="12" t="s">
        <v>384</v>
      </c>
      <c r="E56" s="11"/>
      <c r="F56" s="12" t="s">
        <v>501</v>
      </c>
      <c r="G56" s="12" t="s">
        <v>502</v>
      </c>
      <c r="H56" s="11"/>
      <c r="I56" s="11"/>
      <c r="J56" s="11"/>
      <c r="K56" s="11"/>
      <c r="L56" s="11"/>
      <c r="M56" s="11"/>
      <c r="N56" s="11"/>
      <c r="O56" s="11"/>
      <c r="P56" s="11"/>
      <c r="Q56" s="11"/>
      <c r="R56" s="11"/>
      <c r="S56" s="11"/>
      <c r="T56" s="11"/>
      <c r="U56" s="11"/>
      <c r="V56" s="11"/>
      <c r="W56" s="11"/>
      <c r="X56" s="11"/>
      <c r="Y56" s="11"/>
      <c r="Z56" s="11"/>
    </row>
    <row r="57" spans="1:26" ht="22.5" customHeight="1">
      <c r="A57" s="11"/>
      <c r="B57" s="11"/>
      <c r="C57" s="11"/>
      <c r="D57" s="12" t="s">
        <v>503</v>
      </c>
      <c r="E57" s="11"/>
      <c r="F57" s="12" t="s">
        <v>504</v>
      </c>
      <c r="G57" s="12" t="s">
        <v>505</v>
      </c>
      <c r="H57" s="11"/>
      <c r="I57" s="11"/>
      <c r="J57" s="11"/>
      <c r="K57" s="11"/>
      <c r="L57" s="11"/>
      <c r="M57" s="11"/>
      <c r="N57" s="11"/>
      <c r="O57" s="11"/>
      <c r="P57" s="11"/>
      <c r="Q57" s="11"/>
      <c r="R57" s="11"/>
      <c r="S57" s="11"/>
      <c r="T57" s="11"/>
      <c r="U57" s="11"/>
      <c r="V57" s="11"/>
      <c r="W57" s="11"/>
      <c r="X57" s="11"/>
      <c r="Y57" s="11"/>
      <c r="Z57" s="11"/>
    </row>
    <row r="58" spans="1:26" ht="22.5" customHeight="1">
      <c r="A58" s="11"/>
      <c r="B58" s="11"/>
      <c r="C58" s="11"/>
      <c r="D58" s="12" t="s">
        <v>506</v>
      </c>
      <c r="E58" s="11"/>
      <c r="F58" s="12" t="s">
        <v>507</v>
      </c>
      <c r="G58" s="12" t="s">
        <v>508</v>
      </c>
      <c r="H58" s="11"/>
      <c r="I58" s="11"/>
      <c r="J58" s="11"/>
      <c r="K58" s="11"/>
      <c r="L58" s="11"/>
      <c r="M58" s="11"/>
      <c r="N58" s="11"/>
      <c r="O58" s="11"/>
      <c r="P58" s="11"/>
      <c r="Q58" s="11"/>
      <c r="R58" s="11"/>
      <c r="S58" s="11"/>
      <c r="T58" s="11"/>
      <c r="U58" s="11"/>
      <c r="V58" s="11"/>
      <c r="W58" s="11"/>
      <c r="X58" s="11"/>
      <c r="Y58" s="11"/>
      <c r="Z58" s="11"/>
    </row>
    <row r="59" spans="1:26" ht="22.5" customHeight="1">
      <c r="A59" s="11"/>
      <c r="B59" s="11"/>
      <c r="C59" s="11"/>
      <c r="D59" s="12" t="s">
        <v>509</v>
      </c>
      <c r="E59" s="11"/>
      <c r="F59" s="12" t="s">
        <v>510</v>
      </c>
      <c r="G59" s="12" t="s">
        <v>511</v>
      </c>
      <c r="H59" s="11"/>
      <c r="I59" s="11"/>
      <c r="J59" s="11"/>
      <c r="K59" s="11"/>
      <c r="L59" s="11"/>
      <c r="M59" s="11"/>
      <c r="N59" s="11"/>
      <c r="O59" s="11"/>
      <c r="P59" s="11"/>
      <c r="Q59" s="11"/>
      <c r="R59" s="11"/>
      <c r="S59" s="11"/>
      <c r="T59" s="11"/>
      <c r="U59" s="11"/>
      <c r="V59" s="11"/>
      <c r="W59" s="11"/>
      <c r="X59" s="11"/>
      <c r="Y59" s="11"/>
      <c r="Z59" s="11"/>
    </row>
    <row r="60" spans="1:26" ht="22.5" customHeight="1">
      <c r="A60" s="11"/>
      <c r="B60" s="11"/>
      <c r="C60" s="11"/>
      <c r="D60" s="12" t="s">
        <v>246</v>
      </c>
      <c r="E60" s="11"/>
      <c r="F60" s="12" t="s">
        <v>512</v>
      </c>
      <c r="G60" s="12" t="s">
        <v>238</v>
      </c>
      <c r="H60" s="11"/>
      <c r="I60" s="11"/>
      <c r="J60" s="11"/>
      <c r="K60" s="11"/>
      <c r="L60" s="11"/>
      <c r="M60" s="11"/>
      <c r="N60" s="11"/>
      <c r="O60" s="11"/>
      <c r="P60" s="11"/>
      <c r="Q60" s="11"/>
      <c r="R60" s="11"/>
      <c r="S60" s="11"/>
      <c r="T60" s="11"/>
      <c r="U60" s="11"/>
      <c r="V60" s="11"/>
      <c r="W60" s="11"/>
      <c r="X60" s="11"/>
      <c r="Y60" s="11"/>
      <c r="Z60" s="11"/>
    </row>
    <row r="61" spans="1:26" ht="22.5" customHeight="1">
      <c r="A61" s="11"/>
      <c r="B61" s="11"/>
      <c r="C61" s="11"/>
      <c r="D61" s="12" t="s">
        <v>513</v>
      </c>
      <c r="E61" s="11"/>
      <c r="F61" s="12" t="s">
        <v>514</v>
      </c>
      <c r="G61" s="12" t="s">
        <v>515</v>
      </c>
      <c r="H61" s="11"/>
      <c r="I61" s="11"/>
      <c r="J61" s="11"/>
      <c r="K61" s="11"/>
      <c r="L61" s="11"/>
      <c r="M61" s="11"/>
      <c r="N61" s="11"/>
      <c r="O61" s="11"/>
      <c r="P61" s="11"/>
      <c r="Q61" s="11"/>
      <c r="R61" s="11"/>
      <c r="S61" s="11"/>
      <c r="T61" s="11"/>
      <c r="U61" s="11"/>
      <c r="V61" s="11"/>
      <c r="W61" s="11"/>
      <c r="X61" s="11"/>
      <c r="Y61" s="11"/>
      <c r="Z61" s="11"/>
    </row>
    <row r="62" spans="1:26" ht="22.5" customHeight="1">
      <c r="A62" s="11"/>
      <c r="B62" s="11"/>
      <c r="C62" s="11"/>
      <c r="D62" s="12" t="s">
        <v>516</v>
      </c>
      <c r="E62" s="11"/>
      <c r="F62" s="12" t="s">
        <v>517</v>
      </c>
      <c r="G62" s="12" t="s">
        <v>518</v>
      </c>
      <c r="H62" s="11"/>
      <c r="I62" s="11"/>
      <c r="J62" s="11"/>
      <c r="K62" s="11"/>
      <c r="L62" s="11"/>
      <c r="M62" s="11"/>
      <c r="N62" s="11"/>
      <c r="O62" s="11"/>
      <c r="P62" s="11"/>
      <c r="Q62" s="11"/>
      <c r="R62" s="11"/>
      <c r="S62" s="11"/>
      <c r="T62" s="11"/>
      <c r="U62" s="11"/>
      <c r="V62" s="11"/>
      <c r="W62" s="11"/>
      <c r="X62" s="11"/>
      <c r="Y62" s="11"/>
      <c r="Z62" s="11"/>
    </row>
    <row r="63" spans="1:26" ht="22.5" customHeight="1">
      <c r="A63" s="11"/>
      <c r="B63" s="11"/>
      <c r="C63" s="11"/>
      <c r="D63" s="12" t="s">
        <v>519</v>
      </c>
      <c r="E63" s="11"/>
      <c r="F63" s="12" t="s">
        <v>520</v>
      </c>
      <c r="G63" s="12" t="s">
        <v>521</v>
      </c>
      <c r="H63" s="11"/>
      <c r="I63" s="11"/>
      <c r="J63" s="11"/>
      <c r="K63" s="11"/>
      <c r="L63" s="11"/>
      <c r="M63" s="11"/>
      <c r="N63" s="11"/>
      <c r="O63" s="11"/>
      <c r="P63" s="11"/>
      <c r="Q63" s="11"/>
      <c r="R63" s="11"/>
      <c r="S63" s="11"/>
      <c r="T63" s="11"/>
      <c r="U63" s="11"/>
      <c r="V63" s="11"/>
      <c r="W63" s="11"/>
      <c r="X63" s="11"/>
      <c r="Y63" s="11"/>
      <c r="Z63" s="11"/>
    </row>
    <row r="64" spans="1:26" ht="22.5" customHeight="1">
      <c r="A64" s="11"/>
      <c r="B64" s="11"/>
      <c r="C64" s="11"/>
      <c r="D64" s="12" t="s">
        <v>522</v>
      </c>
      <c r="E64" s="11"/>
      <c r="F64" s="12" t="s">
        <v>523</v>
      </c>
      <c r="G64" s="12" t="s">
        <v>524</v>
      </c>
      <c r="H64" s="11"/>
      <c r="I64" s="11"/>
      <c r="J64" s="11"/>
      <c r="K64" s="11"/>
      <c r="L64" s="11"/>
      <c r="M64" s="11"/>
      <c r="N64" s="11"/>
      <c r="O64" s="11"/>
      <c r="P64" s="11"/>
      <c r="Q64" s="11"/>
      <c r="R64" s="11"/>
      <c r="S64" s="11"/>
      <c r="T64" s="11"/>
      <c r="U64" s="11"/>
      <c r="V64" s="11"/>
      <c r="W64" s="11"/>
      <c r="X64" s="11"/>
      <c r="Y64" s="11"/>
      <c r="Z64" s="11"/>
    </row>
    <row r="65" spans="1:26" ht="22.5" customHeight="1">
      <c r="A65" s="11"/>
      <c r="B65" s="11"/>
      <c r="C65" s="11"/>
      <c r="D65" s="12" t="s">
        <v>195</v>
      </c>
      <c r="E65" s="11"/>
      <c r="F65" s="12" t="s">
        <v>525</v>
      </c>
      <c r="G65" s="12" t="s">
        <v>526</v>
      </c>
      <c r="H65" s="11"/>
      <c r="I65" s="11"/>
      <c r="J65" s="11"/>
      <c r="K65" s="11"/>
      <c r="L65" s="11"/>
      <c r="M65" s="11"/>
      <c r="N65" s="11"/>
      <c r="O65" s="11"/>
      <c r="P65" s="11"/>
      <c r="Q65" s="11"/>
      <c r="R65" s="11"/>
      <c r="S65" s="11"/>
      <c r="T65" s="11"/>
      <c r="U65" s="11"/>
      <c r="V65" s="11"/>
      <c r="W65" s="11"/>
      <c r="X65" s="11"/>
      <c r="Y65" s="11"/>
      <c r="Z65" s="11"/>
    </row>
    <row r="66" spans="1:26" ht="22.5" customHeight="1">
      <c r="A66" s="11"/>
      <c r="B66" s="11"/>
      <c r="C66" s="11"/>
      <c r="D66" s="12" t="s">
        <v>527</v>
      </c>
      <c r="E66" s="11"/>
      <c r="F66" s="12" t="s">
        <v>242</v>
      </c>
      <c r="G66" s="12" t="s">
        <v>528</v>
      </c>
      <c r="H66" s="11"/>
      <c r="I66" s="11"/>
      <c r="J66" s="11"/>
      <c r="K66" s="11"/>
      <c r="L66" s="11"/>
      <c r="M66" s="11"/>
      <c r="N66" s="11"/>
      <c r="O66" s="11"/>
      <c r="P66" s="11"/>
      <c r="Q66" s="11"/>
      <c r="R66" s="11"/>
      <c r="S66" s="11"/>
      <c r="T66" s="11"/>
      <c r="U66" s="11"/>
      <c r="V66" s="11"/>
      <c r="W66" s="11"/>
      <c r="X66" s="11"/>
      <c r="Y66" s="11"/>
      <c r="Z66" s="11"/>
    </row>
    <row r="67" spans="1:26" ht="22.5" customHeight="1">
      <c r="A67" s="11"/>
      <c r="B67" s="11"/>
      <c r="C67" s="11"/>
      <c r="D67" s="12" t="s">
        <v>529</v>
      </c>
      <c r="E67" s="11"/>
      <c r="F67" s="12" t="s">
        <v>530</v>
      </c>
      <c r="G67" s="12" t="s">
        <v>531</v>
      </c>
      <c r="H67" s="11"/>
      <c r="I67" s="11"/>
      <c r="J67" s="11"/>
      <c r="K67" s="11"/>
      <c r="L67" s="11"/>
      <c r="M67" s="11"/>
      <c r="N67" s="11"/>
      <c r="O67" s="11"/>
      <c r="P67" s="11"/>
      <c r="Q67" s="11"/>
      <c r="R67" s="11"/>
      <c r="S67" s="11"/>
      <c r="T67" s="11"/>
      <c r="U67" s="11"/>
      <c r="V67" s="11"/>
      <c r="W67" s="11"/>
      <c r="X67" s="11"/>
      <c r="Y67" s="11"/>
      <c r="Z67" s="11"/>
    </row>
    <row r="68" spans="1:26" ht="22.5" customHeight="1">
      <c r="A68" s="11"/>
      <c r="B68" s="11"/>
      <c r="C68" s="11"/>
      <c r="D68" s="12" t="s">
        <v>408</v>
      </c>
      <c r="E68" s="11"/>
      <c r="F68" s="12" t="s">
        <v>532</v>
      </c>
      <c r="G68" s="12" t="s">
        <v>533</v>
      </c>
      <c r="H68" s="11"/>
      <c r="I68" s="11"/>
      <c r="J68" s="11"/>
      <c r="K68" s="11"/>
      <c r="L68" s="11"/>
      <c r="M68" s="11"/>
      <c r="N68" s="11"/>
      <c r="O68" s="11"/>
      <c r="P68" s="11"/>
      <c r="Q68" s="11"/>
      <c r="R68" s="11"/>
      <c r="S68" s="11"/>
      <c r="T68" s="11"/>
      <c r="U68" s="11"/>
      <c r="V68" s="11"/>
      <c r="W68" s="11"/>
      <c r="X68" s="11"/>
      <c r="Y68" s="11"/>
      <c r="Z68" s="11"/>
    </row>
    <row r="69" spans="1:26" ht="22.5" customHeight="1">
      <c r="A69" s="11"/>
      <c r="B69" s="11"/>
      <c r="C69" s="11"/>
      <c r="D69" s="12" t="s">
        <v>534</v>
      </c>
      <c r="E69" s="11"/>
      <c r="F69" s="12" t="s">
        <v>535</v>
      </c>
      <c r="G69" s="12" t="s">
        <v>536</v>
      </c>
      <c r="H69" s="11"/>
      <c r="I69" s="11"/>
      <c r="J69" s="11"/>
      <c r="K69" s="11"/>
      <c r="L69" s="11"/>
      <c r="M69" s="11"/>
      <c r="N69" s="11"/>
      <c r="O69" s="11"/>
      <c r="P69" s="11"/>
      <c r="Q69" s="11"/>
      <c r="R69" s="11"/>
      <c r="S69" s="11"/>
      <c r="T69" s="11"/>
      <c r="U69" s="11"/>
      <c r="V69" s="11"/>
      <c r="W69" s="11"/>
      <c r="X69" s="11"/>
      <c r="Y69" s="11"/>
      <c r="Z69" s="11"/>
    </row>
    <row r="70" spans="1:26" ht="22.5" customHeight="1">
      <c r="A70" s="11"/>
      <c r="B70" s="11"/>
      <c r="C70" s="11"/>
      <c r="D70" s="12" t="s">
        <v>537</v>
      </c>
      <c r="E70" s="11"/>
      <c r="F70" s="12" t="s">
        <v>538</v>
      </c>
      <c r="G70" s="12" t="s">
        <v>539</v>
      </c>
      <c r="H70" s="11"/>
      <c r="I70" s="11"/>
      <c r="J70" s="11"/>
      <c r="K70" s="11"/>
      <c r="L70" s="11"/>
      <c r="M70" s="11"/>
      <c r="N70" s="11"/>
      <c r="O70" s="11"/>
      <c r="P70" s="11"/>
      <c r="Q70" s="11"/>
      <c r="R70" s="11"/>
      <c r="S70" s="11"/>
      <c r="T70" s="11"/>
      <c r="U70" s="11"/>
      <c r="V70" s="11"/>
      <c r="W70" s="11"/>
      <c r="X70" s="11"/>
      <c r="Y70" s="11"/>
      <c r="Z70" s="11"/>
    </row>
    <row r="71" spans="1:26" ht="22.5" customHeight="1">
      <c r="A71" s="11"/>
      <c r="B71" s="11"/>
      <c r="C71" s="11"/>
      <c r="D71" s="12" t="s">
        <v>540</v>
      </c>
      <c r="E71" s="11"/>
      <c r="F71" s="12" t="s">
        <v>541</v>
      </c>
      <c r="G71" s="12" t="s">
        <v>542</v>
      </c>
      <c r="H71" s="11"/>
      <c r="I71" s="11"/>
      <c r="J71" s="11"/>
      <c r="K71" s="11"/>
      <c r="L71" s="11"/>
      <c r="M71" s="11"/>
      <c r="N71" s="11"/>
      <c r="O71" s="11"/>
      <c r="P71" s="11"/>
      <c r="Q71" s="11"/>
      <c r="R71" s="11"/>
      <c r="S71" s="11"/>
      <c r="T71" s="11"/>
      <c r="U71" s="11"/>
      <c r="V71" s="11"/>
      <c r="W71" s="11"/>
      <c r="X71" s="11"/>
      <c r="Y71" s="11"/>
      <c r="Z71" s="11"/>
    </row>
    <row r="72" spans="1:26" ht="22.5" customHeight="1">
      <c r="A72" s="11"/>
      <c r="B72" s="11"/>
      <c r="C72" s="11"/>
      <c r="D72" s="12" t="s">
        <v>411</v>
      </c>
      <c r="E72" s="11"/>
      <c r="F72" s="12" t="s">
        <v>543</v>
      </c>
      <c r="G72" s="12" t="s">
        <v>544</v>
      </c>
      <c r="H72" s="11"/>
      <c r="I72" s="11"/>
      <c r="J72" s="11"/>
      <c r="K72" s="11"/>
      <c r="L72" s="11"/>
      <c r="M72" s="11"/>
      <c r="N72" s="11"/>
      <c r="O72" s="11"/>
      <c r="P72" s="11"/>
      <c r="Q72" s="11"/>
      <c r="R72" s="11"/>
      <c r="S72" s="11"/>
      <c r="T72" s="11"/>
      <c r="U72" s="11"/>
      <c r="V72" s="11"/>
      <c r="W72" s="11"/>
      <c r="X72" s="11"/>
      <c r="Y72" s="11"/>
      <c r="Z72" s="11"/>
    </row>
    <row r="73" spans="1:26" ht="22.5" customHeight="1">
      <c r="A73" s="11"/>
      <c r="B73" s="11"/>
      <c r="C73" s="11"/>
      <c r="D73" s="12" t="s">
        <v>414</v>
      </c>
      <c r="E73" s="11"/>
      <c r="F73" s="12" t="s">
        <v>258</v>
      </c>
      <c r="G73" s="12" t="s">
        <v>545</v>
      </c>
      <c r="H73" s="11"/>
      <c r="I73" s="11"/>
      <c r="J73" s="11"/>
      <c r="K73" s="11"/>
      <c r="L73" s="11"/>
      <c r="M73" s="11"/>
      <c r="N73" s="11"/>
      <c r="O73" s="11"/>
      <c r="P73" s="11"/>
      <c r="Q73" s="11"/>
      <c r="R73" s="11"/>
      <c r="S73" s="11"/>
      <c r="T73" s="11"/>
      <c r="U73" s="11"/>
      <c r="V73" s="11"/>
      <c r="W73" s="11"/>
      <c r="X73" s="11"/>
      <c r="Y73" s="11"/>
      <c r="Z73" s="11"/>
    </row>
    <row r="74" spans="1:26" ht="22.5" customHeight="1">
      <c r="A74" s="11"/>
      <c r="B74" s="11"/>
      <c r="C74" s="11"/>
      <c r="D74" s="12" t="s">
        <v>241</v>
      </c>
      <c r="E74" s="11"/>
      <c r="F74" s="12" t="s">
        <v>546</v>
      </c>
      <c r="G74" s="12" t="s">
        <v>243</v>
      </c>
      <c r="H74" s="11"/>
      <c r="I74" s="11"/>
      <c r="J74" s="11"/>
      <c r="K74" s="11"/>
      <c r="L74" s="11"/>
      <c r="M74" s="11"/>
      <c r="N74" s="11"/>
      <c r="O74" s="11"/>
      <c r="P74" s="11"/>
      <c r="Q74" s="11"/>
      <c r="R74" s="11"/>
      <c r="S74" s="11"/>
      <c r="T74" s="11"/>
      <c r="U74" s="11"/>
      <c r="V74" s="11"/>
      <c r="W74" s="11"/>
      <c r="X74" s="11"/>
      <c r="Y74" s="11"/>
      <c r="Z74" s="11"/>
    </row>
    <row r="75" spans="1:26" ht="22.5" customHeight="1">
      <c r="A75" s="11"/>
      <c r="B75" s="11"/>
      <c r="C75" s="11"/>
      <c r="D75" s="12" t="s">
        <v>547</v>
      </c>
      <c r="E75" s="11"/>
      <c r="F75" s="12" t="s">
        <v>548</v>
      </c>
      <c r="G75" s="12" t="s">
        <v>549</v>
      </c>
      <c r="H75" s="11"/>
      <c r="I75" s="11"/>
      <c r="J75" s="11"/>
      <c r="K75" s="11"/>
      <c r="L75" s="11"/>
      <c r="M75" s="11"/>
      <c r="N75" s="11"/>
      <c r="O75" s="11"/>
      <c r="P75" s="11"/>
      <c r="Q75" s="11"/>
      <c r="R75" s="11"/>
      <c r="S75" s="11"/>
      <c r="T75" s="11"/>
      <c r="U75" s="11"/>
      <c r="V75" s="11"/>
      <c r="W75" s="11"/>
      <c r="X75" s="11"/>
      <c r="Y75" s="11"/>
      <c r="Z75" s="11"/>
    </row>
    <row r="76" spans="1:26" ht="22.5" customHeight="1">
      <c r="A76" s="11"/>
      <c r="B76" s="11"/>
      <c r="C76" s="11"/>
      <c r="D76" s="12" t="s">
        <v>550</v>
      </c>
      <c r="E76" s="11"/>
      <c r="F76" s="12" t="s">
        <v>551</v>
      </c>
      <c r="G76" s="12" t="s">
        <v>552</v>
      </c>
      <c r="H76" s="11"/>
      <c r="I76" s="11"/>
      <c r="J76" s="11"/>
      <c r="K76" s="11"/>
      <c r="L76" s="11"/>
      <c r="M76" s="11"/>
      <c r="N76" s="11"/>
      <c r="O76" s="11"/>
      <c r="P76" s="11"/>
      <c r="Q76" s="11"/>
      <c r="R76" s="11"/>
      <c r="S76" s="11"/>
      <c r="T76" s="11"/>
      <c r="U76" s="11"/>
      <c r="V76" s="11"/>
      <c r="W76" s="11"/>
      <c r="X76" s="11"/>
      <c r="Y76" s="11"/>
      <c r="Z76" s="11"/>
    </row>
    <row r="77" spans="1:26" ht="22.5" customHeight="1">
      <c r="A77" s="11"/>
      <c r="B77" s="11"/>
      <c r="C77" s="11"/>
      <c r="D77" s="12" t="s">
        <v>553</v>
      </c>
      <c r="E77" s="11"/>
      <c r="F77" s="12" t="s">
        <v>554</v>
      </c>
      <c r="G77" s="12" t="s">
        <v>555</v>
      </c>
      <c r="H77" s="11"/>
      <c r="I77" s="11"/>
      <c r="J77" s="11"/>
      <c r="K77" s="11"/>
      <c r="L77" s="11"/>
      <c r="M77" s="11"/>
      <c r="N77" s="11"/>
      <c r="O77" s="11"/>
      <c r="P77" s="11"/>
      <c r="Q77" s="11"/>
      <c r="R77" s="11"/>
      <c r="S77" s="11"/>
      <c r="T77" s="11"/>
      <c r="U77" s="11"/>
      <c r="V77" s="11"/>
      <c r="W77" s="11"/>
      <c r="X77" s="11"/>
      <c r="Y77" s="11"/>
      <c r="Z77" s="11"/>
    </row>
    <row r="78" spans="1:26" ht="22.5" customHeight="1">
      <c r="A78" s="11"/>
      <c r="B78" s="11"/>
      <c r="C78" s="11"/>
      <c r="D78" s="12" t="s">
        <v>257</v>
      </c>
      <c r="E78" s="11"/>
      <c r="F78" s="12" t="s">
        <v>556</v>
      </c>
      <c r="G78" s="12" t="s">
        <v>557</v>
      </c>
      <c r="H78" s="11"/>
      <c r="I78" s="11"/>
      <c r="J78" s="11"/>
      <c r="K78" s="11"/>
      <c r="L78" s="11"/>
      <c r="M78" s="11"/>
      <c r="N78" s="11"/>
      <c r="O78" s="11"/>
      <c r="P78" s="11"/>
      <c r="Q78" s="11"/>
      <c r="R78" s="11"/>
      <c r="S78" s="11"/>
      <c r="T78" s="11"/>
      <c r="U78" s="11"/>
      <c r="V78" s="11"/>
      <c r="W78" s="11"/>
      <c r="X78" s="11"/>
      <c r="Y78" s="11"/>
      <c r="Z78" s="11"/>
    </row>
    <row r="79" spans="1:26" ht="22.5" customHeight="1">
      <c r="A79" s="11"/>
      <c r="B79" s="11"/>
      <c r="C79" s="11"/>
      <c r="D79" s="12" t="s">
        <v>558</v>
      </c>
      <c r="E79" s="11"/>
      <c r="F79" s="12" t="s">
        <v>559</v>
      </c>
      <c r="G79" s="12" t="s">
        <v>560</v>
      </c>
      <c r="H79" s="11"/>
      <c r="I79" s="11"/>
      <c r="J79" s="11"/>
      <c r="K79" s="11"/>
      <c r="L79" s="11"/>
      <c r="M79" s="11"/>
      <c r="N79" s="11"/>
      <c r="O79" s="11"/>
      <c r="P79" s="11"/>
      <c r="Q79" s="11"/>
      <c r="R79" s="11"/>
      <c r="S79" s="11"/>
      <c r="T79" s="11"/>
      <c r="U79" s="11"/>
      <c r="V79" s="11"/>
      <c r="W79" s="11"/>
      <c r="X79" s="11"/>
      <c r="Y79" s="11"/>
      <c r="Z79" s="11"/>
    </row>
    <row r="80" spans="1:26" ht="22.5" customHeight="1">
      <c r="A80" s="11"/>
      <c r="B80" s="11"/>
      <c r="C80" s="11"/>
      <c r="D80" s="12" t="s">
        <v>561</v>
      </c>
      <c r="E80" s="11"/>
      <c r="F80" s="12" t="s">
        <v>562</v>
      </c>
      <c r="G80" s="12" t="s">
        <v>563</v>
      </c>
      <c r="H80" s="11"/>
      <c r="I80" s="11"/>
      <c r="J80" s="11"/>
      <c r="K80" s="11"/>
      <c r="L80" s="11"/>
      <c r="M80" s="11"/>
      <c r="N80" s="11"/>
      <c r="O80" s="11"/>
      <c r="P80" s="11"/>
      <c r="Q80" s="11"/>
      <c r="R80" s="11"/>
      <c r="S80" s="11"/>
      <c r="T80" s="11"/>
      <c r="U80" s="11"/>
      <c r="V80" s="11"/>
      <c r="W80" s="11"/>
      <c r="X80" s="11"/>
      <c r="Y80" s="11"/>
      <c r="Z80" s="11"/>
    </row>
    <row r="81" spans="1:26" ht="22.5" customHeight="1">
      <c r="A81" s="11"/>
      <c r="B81" s="11"/>
      <c r="C81" s="11"/>
      <c r="D81" s="12" t="s">
        <v>426</v>
      </c>
      <c r="E81" s="11"/>
      <c r="F81" s="12" t="s">
        <v>564</v>
      </c>
      <c r="G81" s="12" t="s">
        <v>565</v>
      </c>
      <c r="H81" s="11"/>
      <c r="I81" s="11"/>
      <c r="J81" s="11"/>
      <c r="K81" s="11"/>
      <c r="L81" s="11"/>
      <c r="M81" s="11"/>
      <c r="N81" s="11"/>
      <c r="O81" s="11"/>
      <c r="P81" s="11"/>
      <c r="Q81" s="11"/>
      <c r="R81" s="11"/>
      <c r="S81" s="11"/>
      <c r="T81" s="11"/>
      <c r="U81" s="11"/>
      <c r="V81" s="11"/>
      <c r="W81" s="11"/>
      <c r="X81" s="11"/>
      <c r="Y81" s="11"/>
      <c r="Z81" s="11"/>
    </row>
    <row r="82" spans="1:26" ht="22.5" customHeight="1">
      <c r="A82" s="11"/>
      <c r="B82" s="11"/>
      <c r="C82" s="11"/>
      <c r="D82" s="12" t="s">
        <v>566</v>
      </c>
      <c r="E82" s="11"/>
      <c r="F82" s="12" t="s">
        <v>567</v>
      </c>
      <c r="G82" s="12" t="s">
        <v>568</v>
      </c>
      <c r="H82" s="11"/>
      <c r="I82" s="11"/>
      <c r="J82" s="11"/>
      <c r="K82" s="11"/>
      <c r="L82" s="11"/>
      <c r="M82" s="11"/>
      <c r="N82" s="11"/>
      <c r="O82" s="11"/>
      <c r="P82" s="11"/>
      <c r="Q82" s="11"/>
      <c r="R82" s="11"/>
      <c r="S82" s="11"/>
      <c r="T82" s="11"/>
      <c r="U82" s="11"/>
      <c r="V82" s="11"/>
      <c r="W82" s="11"/>
      <c r="X82" s="11"/>
      <c r="Y82" s="11"/>
      <c r="Z82" s="11"/>
    </row>
    <row r="83" spans="1:26" ht="22.5" customHeight="1">
      <c r="A83" s="11"/>
      <c r="B83" s="11"/>
      <c r="C83" s="11"/>
      <c r="D83" s="12" t="s">
        <v>569</v>
      </c>
      <c r="E83" s="11"/>
      <c r="F83" s="12" t="s">
        <v>570</v>
      </c>
      <c r="G83" s="12" t="s">
        <v>571</v>
      </c>
      <c r="H83" s="11"/>
      <c r="I83" s="11"/>
      <c r="J83" s="11"/>
      <c r="K83" s="11"/>
      <c r="L83" s="11"/>
      <c r="M83" s="11"/>
      <c r="N83" s="11"/>
      <c r="O83" s="11"/>
      <c r="P83" s="11"/>
      <c r="Q83" s="11"/>
      <c r="R83" s="11"/>
      <c r="S83" s="11"/>
      <c r="T83" s="11"/>
      <c r="U83" s="11"/>
      <c r="V83" s="11"/>
      <c r="W83" s="11"/>
      <c r="X83" s="11"/>
      <c r="Y83" s="11"/>
      <c r="Z83" s="11"/>
    </row>
    <row r="84" spans="1:26" ht="22.5" customHeight="1">
      <c r="A84" s="11"/>
      <c r="B84" s="11"/>
      <c r="C84" s="11"/>
      <c r="D84" s="12" t="s">
        <v>572</v>
      </c>
      <c r="E84" s="11"/>
      <c r="F84" s="12" t="s">
        <v>573</v>
      </c>
      <c r="G84" s="12" t="s">
        <v>574</v>
      </c>
      <c r="H84" s="11"/>
      <c r="I84" s="11"/>
      <c r="J84" s="11"/>
      <c r="K84" s="11"/>
      <c r="L84" s="11"/>
      <c r="M84" s="11"/>
      <c r="N84" s="11"/>
      <c r="O84" s="11"/>
      <c r="P84" s="11"/>
      <c r="Q84" s="11"/>
      <c r="R84" s="11"/>
      <c r="S84" s="11"/>
      <c r="T84" s="11"/>
      <c r="U84" s="11"/>
      <c r="V84" s="11"/>
      <c r="W84" s="11"/>
      <c r="X84" s="11"/>
      <c r="Y84" s="11"/>
      <c r="Z84" s="11"/>
    </row>
    <row r="85" spans="1:26" ht="22.5" customHeight="1">
      <c r="A85" s="11"/>
      <c r="B85" s="11"/>
      <c r="C85" s="11"/>
      <c r="D85" s="12" t="s">
        <v>575</v>
      </c>
      <c r="E85" s="11"/>
      <c r="F85" s="12" t="s">
        <v>576</v>
      </c>
      <c r="G85" s="12" t="s">
        <v>577</v>
      </c>
      <c r="H85" s="11"/>
      <c r="I85" s="11"/>
      <c r="J85" s="11"/>
      <c r="K85" s="11"/>
      <c r="L85" s="11"/>
      <c r="M85" s="11"/>
      <c r="N85" s="11"/>
      <c r="O85" s="11"/>
      <c r="P85" s="11"/>
      <c r="Q85" s="11"/>
      <c r="R85" s="11"/>
      <c r="S85" s="11"/>
      <c r="T85" s="11"/>
      <c r="U85" s="11"/>
      <c r="V85" s="11"/>
      <c r="W85" s="11"/>
      <c r="X85" s="11"/>
      <c r="Y85" s="11"/>
      <c r="Z85" s="11"/>
    </row>
    <row r="86" spans="1:26" ht="22.5" customHeight="1">
      <c r="A86" s="11"/>
      <c r="B86" s="11"/>
      <c r="C86" s="11"/>
      <c r="D86" s="12" t="s">
        <v>578</v>
      </c>
      <c r="E86" s="11"/>
      <c r="F86" s="12" t="s">
        <v>579</v>
      </c>
      <c r="G86" s="12" t="s">
        <v>580</v>
      </c>
      <c r="H86" s="11"/>
      <c r="I86" s="11"/>
      <c r="J86" s="11"/>
      <c r="K86" s="11"/>
      <c r="L86" s="11"/>
      <c r="M86" s="11"/>
      <c r="N86" s="11"/>
      <c r="O86" s="11"/>
      <c r="P86" s="11"/>
      <c r="Q86" s="11"/>
      <c r="R86" s="11"/>
      <c r="S86" s="11"/>
      <c r="T86" s="11"/>
      <c r="U86" s="11"/>
      <c r="V86" s="11"/>
      <c r="W86" s="11"/>
      <c r="X86" s="11"/>
      <c r="Y86" s="11"/>
      <c r="Z86" s="11"/>
    </row>
    <row r="87" spans="1:26" ht="22.5" customHeight="1">
      <c r="A87" s="11"/>
      <c r="B87" s="11"/>
      <c r="C87" s="11"/>
      <c r="D87" s="12" t="s">
        <v>581</v>
      </c>
      <c r="E87" s="11"/>
      <c r="F87" s="12" t="s">
        <v>582</v>
      </c>
      <c r="G87" s="12" t="s">
        <v>583</v>
      </c>
      <c r="H87" s="11"/>
      <c r="I87" s="11"/>
      <c r="J87" s="11"/>
      <c r="K87" s="11"/>
      <c r="L87" s="11"/>
      <c r="M87" s="11"/>
      <c r="N87" s="11"/>
      <c r="O87" s="11"/>
      <c r="P87" s="11"/>
      <c r="Q87" s="11"/>
      <c r="R87" s="11"/>
      <c r="S87" s="11"/>
      <c r="T87" s="11"/>
      <c r="U87" s="11"/>
      <c r="V87" s="11"/>
      <c r="W87" s="11"/>
      <c r="X87" s="11"/>
      <c r="Y87" s="11"/>
      <c r="Z87" s="11"/>
    </row>
    <row r="88" spans="1:26" ht="22.5" customHeight="1">
      <c r="A88" s="11"/>
      <c r="B88" s="11"/>
      <c r="C88" s="11"/>
      <c r="D88" s="12" t="s">
        <v>584</v>
      </c>
      <c r="E88" s="11"/>
      <c r="F88" s="12" t="s">
        <v>585</v>
      </c>
      <c r="G88" s="12" t="s">
        <v>586</v>
      </c>
      <c r="H88" s="11"/>
      <c r="I88" s="11"/>
      <c r="J88" s="11"/>
      <c r="K88" s="11"/>
      <c r="L88" s="11"/>
      <c r="M88" s="11"/>
      <c r="N88" s="11"/>
      <c r="O88" s="11"/>
      <c r="P88" s="11"/>
      <c r="Q88" s="11"/>
      <c r="R88" s="11"/>
      <c r="S88" s="11"/>
      <c r="T88" s="11"/>
      <c r="U88" s="11"/>
      <c r="V88" s="11"/>
      <c r="W88" s="11"/>
      <c r="X88" s="11"/>
      <c r="Y88" s="11"/>
      <c r="Z88" s="11"/>
    </row>
    <row r="89" spans="1:26" ht="22.5" customHeight="1">
      <c r="A89" s="11"/>
      <c r="B89" s="11"/>
      <c r="C89" s="11"/>
      <c r="D89" s="12" t="s">
        <v>587</v>
      </c>
      <c r="E89" s="11"/>
      <c r="F89" s="12" t="s">
        <v>588</v>
      </c>
      <c r="G89" s="12" t="s">
        <v>589</v>
      </c>
      <c r="H89" s="11"/>
      <c r="I89" s="11"/>
      <c r="J89" s="11"/>
      <c r="K89" s="11"/>
      <c r="L89" s="11"/>
      <c r="M89" s="11"/>
      <c r="N89" s="11"/>
      <c r="O89" s="11"/>
      <c r="P89" s="11"/>
      <c r="Q89" s="11"/>
      <c r="R89" s="11"/>
      <c r="S89" s="11"/>
      <c r="T89" s="11"/>
      <c r="U89" s="11"/>
      <c r="V89" s="11"/>
      <c r="W89" s="11"/>
      <c r="X89" s="11"/>
      <c r="Y89" s="11"/>
      <c r="Z89" s="11"/>
    </row>
    <row r="90" spans="1:26" ht="22.5" customHeight="1">
      <c r="A90" s="11"/>
      <c r="B90" s="11"/>
      <c r="C90" s="11"/>
      <c r="D90" s="12" t="s">
        <v>590</v>
      </c>
      <c r="E90" s="11"/>
      <c r="F90" s="12" t="s">
        <v>591</v>
      </c>
      <c r="G90" s="12" t="s">
        <v>592</v>
      </c>
      <c r="H90" s="11"/>
      <c r="I90" s="11"/>
      <c r="J90" s="11"/>
      <c r="K90" s="11"/>
      <c r="L90" s="11"/>
      <c r="M90" s="11"/>
      <c r="N90" s="11"/>
      <c r="O90" s="11"/>
      <c r="P90" s="11"/>
      <c r="Q90" s="11"/>
      <c r="R90" s="11"/>
      <c r="S90" s="11"/>
      <c r="T90" s="11"/>
      <c r="U90" s="11"/>
      <c r="V90" s="11"/>
      <c r="W90" s="11"/>
      <c r="X90" s="11"/>
      <c r="Y90" s="11"/>
      <c r="Z90" s="11"/>
    </row>
    <row r="91" spans="1:26" ht="22.5" customHeight="1">
      <c r="A91" s="11"/>
      <c r="B91" s="11"/>
      <c r="C91" s="11"/>
      <c r="D91" s="12" t="s">
        <v>593</v>
      </c>
      <c r="E91" s="11"/>
      <c r="F91" s="12" t="s">
        <v>252</v>
      </c>
      <c r="G91" s="12" t="s">
        <v>211</v>
      </c>
      <c r="H91" s="11"/>
      <c r="I91" s="11"/>
      <c r="J91" s="11"/>
      <c r="K91" s="11"/>
      <c r="L91" s="11"/>
      <c r="M91" s="11"/>
      <c r="N91" s="11"/>
      <c r="O91" s="11"/>
      <c r="P91" s="11"/>
      <c r="Q91" s="11"/>
      <c r="R91" s="11"/>
      <c r="S91" s="11"/>
      <c r="T91" s="11"/>
      <c r="U91" s="11"/>
      <c r="V91" s="11"/>
      <c r="W91" s="11"/>
      <c r="X91" s="11"/>
      <c r="Y91" s="11"/>
      <c r="Z91" s="11"/>
    </row>
    <row r="92" spans="1:26" ht="22.5" customHeight="1">
      <c r="A92" s="11"/>
      <c r="B92" s="11"/>
      <c r="C92" s="11"/>
      <c r="D92" s="12" t="s">
        <v>450</v>
      </c>
      <c r="E92" s="11"/>
      <c r="F92" s="12" t="s">
        <v>594</v>
      </c>
      <c r="G92" s="12" t="s">
        <v>595</v>
      </c>
      <c r="H92" s="11"/>
      <c r="I92" s="11"/>
      <c r="J92" s="11"/>
      <c r="K92" s="11"/>
      <c r="L92" s="11"/>
      <c r="M92" s="11"/>
      <c r="N92" s="11"/>
      <c r="O92" s="11"/>
      <c r="P92" s="11"/>
      <c r="Q92" s="11"/>
      <c r="R92" s="11"/>
      <c r="S92" s="11"/>
      <c r="T92" s="11"/>
      <c r="U92" s="11"/>
      <c r="V92" s="11"/>
      <c r="W92" s="11"/>
      <c r="X92" s="11"/>
      <c r="Y92" s="11"/>
      <c r="Z92" s="11"/>
    </row>
    <row r="93" spans="1:26" ht="22.5" customHeight="1">
      <c r="A93" s="11"/>
      <c r="B93" s="11"/>
      <c r="C93" s="11"/>
      <c r="D93" s="12" t="s">
        <v>596</v>
      </c>
      <c r="E93" s="11"/>
      <c r="F93" s="12" t="s">
        <v>597</v>
      </c>
      <c r="G93" s="12" t="s">
        <v>598</v>
      </c>
      <c r="H93" s="11"/>
      <c r="I93" s="11"/>
      <c r="J93" s="11"/>
      <c r="K93" s="11"/>
      <c r="L93" s="11"/>
      <c r="M93" s="11"/>
      <c r="N93" s="11"/>
      <c r="O93" s="11"/>
      <c r="P93" s="11"/>
      <c r="Q93" s="11"/>
      <c r="R93" s="11"/>
      <c r="S93" s="11"/>
      <c r="T93" s="11"/>
      <c r="U93" s="11"/>
      <c r="V93" s="11"/>
      <c r="W93" s="11"/>
      <c r="X93" s="11"/>
      <c r="Y93" s="11"/>
      <c r="Z93" s="11"/>
    </row>
    <row r="94" spans="1:26" ht="22.5" customHeight="1">
      <c r="A94" s="11"/>
      <c r="B94" s="11"/>
      <c r="C94" s="11"/>
      <c r="D94" s="12" t="s">
        <v>251</v>
      </c>
      <c r="E94" s="11"/>
      <c r="F94" s="12" t="s">
        <v>599</v>
      </c>
      <c r="G94" s="12" t="s">
        <v>600</v>
      </c>
      <c r="H94" s="11"/>
      <c r="I94" s="11"/>
      <c r="J94" s="11"/>
      <c r="K94" s="11"/>
      <c r="L94" s="11"/>
      <c r="M94" s="11"/>
      <c r="N94" s="11"/>
      <c r="O94" s="11"/>
      <c r="P94" s="11"/>
      <c r="Q94" s="11"/>
      <c r="R94" s="11"/>
      <c r="S94" s="11"/>
      <c r="T94" s="11"/>
      <c r="U94" s="11"/>
      <c r="V94" s="11"/>
      <c r="W94" s="11"/>
      <c r="X94" s="11"/>
      <c r="Y94" s="11"/>
      <c r="Z94" s="11"/>
    </row>
    <row r="95" spans="1:26" ht="22.5" customHeight="1">
      <c r="A95" s="11"/>
      <c r="B95" s="11"/>
      <c r="C95" s="11"/>
      <c r="D95" s="12" t="s">
        <v>456</v>
      </c>
      <c r="E95" s="11"/>
      <c r="F95" s="12" t="s">
        <v>601</v>
      </c>
      <c r="G95" s="12" t="s">
        <v>602</v>
      </c>
      <c r="H95" s="11"/>
      <c r="I95" s="11"/>
      <c r="J95" s="11"/>
      <c r="K95" s="11"/>
      <c r="L95" s="11"/>
      <c r="M95" s="11"/>
      <c r="N95" s="11"/>
      <c r="O95" s="11"/>
      <c r="P95" s="11"/>
      <c r="Q95" s="11"/>
      <c r="R95" s="11"/>
      <c r="S95" s="11"/>
      <c r="T95" s="11"/>
      <c r="U95" s="11"/>
      <c r="V95" s="11"/>
      <c r="W95" s="11"/>
      <c r="X95" s="11"/>
      <c r="Y95" s="11"/>
      <c r="Z95" s="11"/>
    </row>
    <row r="96" spans="1:26" ht="22.5" customHeight="1">
      <c r="A96" s="11"/>
      <c r="B96" s="11"/>
      <c r="C96" s="11"/>
      <c r="D96" s="12" t="s">
        <v>603</v>
      </c>
      <c r="E96" s="11"/>
      <c r="F96" s="12" t="s">
        <v>604</v>
      </c>
      <c r="G96" s="12" t="s">
        <v>605</v>
      </c>
      <c r="H96" s="11"/>
      <c r="I96" s="11"/>
      <c r="J96" s="11"/>
      <c r="K96" s="11"/>
      <c r="L96" s="11"/>
      <c r="M96" s="11"/>
      <c r="N96" s="11"/>
      <c r="O96" s="11"/>
      <c r="P96" s="11"/>
      <c r="Q96" s="11"/>
      <c r="R96" s="11"/>
      <c r="S96" s="11"/>
      <c r="T96" s="11"/>
      <c r="U96" s="11"/>
      <c r="V96" s="11"/>
      <c r="W96" s="11"/>
      <c r="X96" s="11"/>
      <c r="Y96" s="11"/>
      <c r="Z96" s="11"/>
    </row>
    <row r="97" spans="1:26" ht="22.5" customHeight="1">
      <c r="A97" s="11"/>
      <c r="B97" s="11"/>
      <c r="C97" s="11"/>
      <c r="D97" s="12" t="s">
        <v>606</v>
      </c>
      <c r="E97" s="11"/>
      <c r="F97" s="12" t="s">
        <v>264</v>
      </c>
      <c r="G97" s="12" t="s">
        <v>607</v>
      </c>
      <c r="H97" s="11"/>
      <c r="I97" s="11"/>
      <c r="J97" s="11"/>
      <c r="K97" s="11"/>
      <c r="L97" s="11"/>
      <c r="M97" s="11"/>
      <c r="N97" s="11"/>
      <c r="O97" s="11"/>
      <c r="P97" s="11"/>
      <c r="Q97" s="11"/>
      <c r="R97" s="11"/>
      <c r="S97" s="11"/>
      <c r="T97" s="11"/>
      <c r="U97" s="11"/>
      <c r="V97" s="11"/>
      <c r="W97" s="11"/>
      <c r="X97" s="11"/>
      <c r="Y97" s="11"/>
      <c r="Z97" s="11"/>
    </row>
    <row r="98" spans="1:26" ht="22.5" customHeight="1">
      <c r="A98" s="11"/>
      <c r="B98" s="11"/>
      <c r="C98" s="11"/>
      <c r="D98" s="12" t="s">
        <v>460</v>
      </c>
      <c r="E98" s="11"/>
      <c r="F98" s="12" t="s">
        <v>608</v>
      </c>
      <c r="G98" s="12" t="s">
        <v>609</v>
      </c>
      <c r="H98" s="11"/>
      <c r="I98" s="11"/>
      <c r="J98" s="11"/>
      <c r="K98" s="11"/>
      <c r="L98" s="11"/>
      <c r="M98" s="11"/>
      <c r="N98" s="11"/>
      <c r="O98" s="11"/>
      <c r="P98" s="11"/>
      <c r="Q98" s="11"/>
      <c r="R98" s="11"/>
      <c r="S98" s="11"/>
      <c r="T98" s="11"/>
      <c r="U98" s="11"/>
      <c r="V98" s="11"/>
      <c r="W98" s="11"/>
      <c r="X98" s="11"/>
      <c r="Y98" s="11"/>
      <c r="Z98" s="11"/>
    </row>
    <row r="99" spans="1:26" ht="22.5" customHeight="1">
      <c r="A99" s="11"/>
      <c r="B99" s="11"/>
      <c r="C99" s="11"/>
      <c r="D99" s="12" t="s">
        <v>610</v>
      </c>
      <c r="E99" s="11"/>
      <c r="F99" s="12" t="s">
        <v>611</v>
      </c>
      <c r="G99" s="12" t="s">
        <v>612</v>
      </c>
      <c r="H99" s="11"/>
      <c r="I99" s="11"/>
      <c r="J99" s="11"/>
      <c r="K99" s="11"/>
      <c r="L99" s="11"/>
      <c r="M99" s="11"/>
      <c r="N99" s="11"/>
      <c r="O99" s="11"/>
      <c r="P99" s="11"/>
      <c r="Q99" s="11"/>
      <c r="R99" s="11"/>
      <c r="S99" s="11"/>
      <c r="T99" s="11"/>
      <c r="U99" s="11"/>
      <c r="V99" s="11"/>
      <c r="W99" s="11"/>
      <c r="X99" s="11"/>
      <c r="Y99" s="11"/>
      <c r="Z99" s="11"/>
    </row>
    <row r="100" spans="1:26" ht="22.5" customHeight="1">
      <c r="A100" s="11"/>
      <c r="B100" s="11"/>
      <c r="C100" s="11"/>
      <c r="D100" s="12" t="s">
        <v>263</v>
      </c>
      <c r="E100" s="11"/>
      <c r="F100" s="12" t="s">
        <v>185</v>
      </c>
      <c r="G100" s="12" t="s">
        <v>613</v>
      </c>
      <c r="H100" s="11"/>
      <c r="I100" s="11"/>
      <c r="J100" s="11"/>
      <c r="K100" s="11"/>
      <c r="L100" s="11"/>
      <c r="M100" s="11"/>
      <c r="N100" s="11"/>
      <c r="O100" s="11"/>
      <c r="P100" s="11"/>
      <c r="Q100" s="11"/>
      <c r="R100" s="11"/>
      <c r="S100" s="11"/>
      <c r="T100" s="11"/>
      <c r="U100" s="11"/>
      <c r="V100" s="11"/>
      <c r="W100" s="11"/>
      <c r="X100" s="11"/>
      <c r="Y100" s="11"/>
      <c r="Z100" s="11"/>
    </row>
    <row r="101" spans="1:26" ht="22.5" customHeight="1">
      <c r="A101" s="11"/>
      <c r="B101" s="11"/>
      <c r="C101" s="11"/>
      <c r="D101" s="12" t="s">
        <v>614</v>
      </c>
      <c r="E101" s="11"/>
      <c r="F101" s="12" t="s">
        <v>615</v>
      </c>
      <c r="G101" s="12" t="s">
        <v>616</v>
      </c>
      <c r="H101" s="11"/>
      <c r="I101" s="11"/>
      <c r="J101" s="11"/>
      <c r="K101" s="11"/>
      <c r="L101" s="11"/>
      <c r="M101" s="11"/>
      <c r="N101" s="11"/>
      <c r="O101" s="11"/>
      <c r="P101" s="11"/>
      <c r="Q101" s="11"/>
      <c r="R101" s="11"/>
      <c r="S101" s="11"/>
      <c r="T101" s="11"/>
      <c r="U101" s="11"/>
      <c r="V101" s="11"/>
      <c r="W101" s="11"/>
      <c r="X101" s="11"/>
      <c r="Y101" s="11"/>
      <c r="Z101" s="11"/>
    </row>
    <row r="102" spans="1:26" ht="22.5" customHeight="1">
      <c r="A102" s="11"/>
      <c r="B102" s="11"/>
      <c r="C102" s="11"/>
      <c r="D102" s="12" t="s">
        <v>617</v>
      </c>
      <c r="E102" s="11"/>
      <c r="F102" s="13" t="s">
        <v>618</v>
      </c>
      <c r="G102" s="12" t="s">
        <v>619</v>
      </c>
      <c r="H102" s="11"/>
      <c r="I102" s="11"/>
      <c r="J102" s="11"/>
      <c r="K102" s="11"/>
      <c r="L102" s="11"/>
      <c r="M102" s="11"/>
      <c r="N102" s="11"/>
      <c r="O102" s="11"/>
      <c r="P102" s="11"/>
      <c r="Q102" s="11"/>
      <c r="R102" s="11"/>
      <c r="S102" s="11"/>
      <c r="T102" s="11"/>
      <c r="U102" s="11"/>
      <c r="V102" s="11"/>
      <c r="W102" s="11"/>
      <c r="X102" s="11"/>
      <c r="Y102" s="11"/>
      <c r="Z102" s="11"/>
    </row>
    <row r="103" spans="1:26" ht="22.5" customHeight="1">
      <c r="A103" s="11"/>
      <c r="B103" s="11"/>
      <c r="C103" s="11"/>
      <c r="D103" s="12" t="s">
        <v>178</v>
      </c>
      <c r="E103" s="11"/>
      <c r="F103" s="12" t="s">
        <v>620</v>
      </c>
      <c r="G103" s="12" t="s">
        <v>621</v>
      </c>
      <c r="H103" s="11"/>
      <c r="I103" s="11"/>
      <c r="J103" s="11"/>
      <c r="K103" s="11"/>
      <c r="L103" s="11"/>
      <c r="M103" s="11"/>
      <c r="N103" s="11"/>
      <c r="O103" s="11"/>
      <c r="P103" s="11"/>
      <c r="Q103" s="11"/>
      <c r="R103" s="11"/>
      <c r="S103" s="11"/>
      <c r="T103" s="11"/>
      <c r="U103" s="11"/>
      <c r="V103" s="11"/>
      <c r="W103" s="11"/>
      <c r="X103" s="11"/>
      <c r="Y103" s="11"/>
      <c r="Z103" s="11"/>
    </row>
    <row r="104" spans="1:26" ht="22.5" customHeight="1">
      <c r="A104" s="11"/>
      <c r="B104" s="11"/>
      <c r="C104" s="11"/>
      <c r="D104" s="12" t="s">
        <v>622</v>
      </c>
      <c r="E104" s="11"/>
      <c r="F104" s="12" t="s">
        <v>623</v>
      </c>
      <c r="G104" s="12" t="s">
        <v>624</v>
      </c>
      <c r="H104" s="11"/>
      <c r="I104" s="11"/>
      <c r="J104" s="11"/>
      <c r="K104" s="11"/>
      <c r="L104" s="11"/>
      <c r="M104" s="11"/>
      <c r="N104" s="11"/>
      <c r="O104" s="11"/>
      <c r="P104" s="11"/>
      <c r="Q104" s="11"/>
      <c r="R104" s="11"/>
      <c r="S104" s="11"/>
      <c r="T104" s="11"/>
      <c r="U104" s="11"/>
      <c r="V104" s="11"/>
      <c r="W104" s="11"/>
      <c r="X104" s="11"/>
      <c r="Y104" s="11"/>
      <c r="Z104" s="11"/>
    </row>
    <row r="105" spans="1:26" ht="22.5" customHeight="1">
      <c r="A105" s="11"/>
      <c r="B105" s="11"/>
      <c r="C105" s="11"/>
      <c r="D105" s="12" t="s">
        <v>484</v>
      </c>
      <c r="E105" s="11"/>
      <c r="F105" s="12" t="s">
        <v>625</v>
      </c>
      <c r="G105" s="12" t="s">
        <v>626</v>
      </c>
      <c r="H105" s="11"/>
      <c r="I105" s="11"/>
      <c r="J105" s="11"/>
      <c r="K105" s="11"/>
      <c r="L105" s="11"/>
      <c r="M105" s="11"/>
      <c r="N105" s="11"/>
      <c r="O105" s="11"/>
      <c r="P105" s="11"/>
      <c r="Q105" s="11"/>
      <c r="R105" s="11"/>
      <c r="S105" s="11"/>
      <c r="T105" s="11"/>
      <c r="U105" s="11"/>
      <c r="V105" s="11"/>
      <c r="W105" s="11"/>
      <c r="X105" s="11"/>
      <c r="Y105" s="11"/>
      <c r="Z105" s="11"/>
    </row>
    <row r="106" spans="1:26" ht="22.5" customHeight="1">
      <c r="A106" s="11"/>
      <c r="B106" s="11"/>
      <c r="C106" s="11"/>
      <c r="D106" s="12" t="s">
        <v>627</v>
      </c>
      <c r="E106" s="11"/>
      <c r="F106" s="12" t="s">
        <v>628</v>
      </c>
      <c r="G106" s="12" t="s">
        <v>629</v>
      </c>
      <c r="H106" s="11"/>
      <c r="I106" s="11"/>
      <c r="J106" s="11"/>
      <c r="K106" s="11"/>
      <c r="L106" s="11"/>
      <c r="M106" s="11"/>
      <c r="N106" s="11"/>
      <c r="O106" s="11"/>
      <c r="P106" s="11"/>
      <c r="Q106" s="11"/>
      <c r="R106" s="11"/>
      <c r="S106" s="11"/>
      <c r="T106" s="11"/>
      <c r="U106" s="11"/>
      <c r="V106" s="11"/>
      <c r="W106" s="11"/>
      <c r="X106" s="11"/>
      <c r="Y106" s="11"/>
      <c r="Z106" s="11"/>
    </row>
    <row r="107" spans="1:26" ht="22.5" customHeight="1">
      <c r="A107" s="11"/>
      <c r="B107" s="11"/>
      <c r="C107" s="11"/>
      <c r="D107" s="12" t="s">
        <v>630</v>
      </c>
      <c r="E107" s="11"/>
      <c r="F107" s="12" t="s">
        <v>631</v>
      </c>
      <c r="G107" s="12" t="s">
        <v>632</v>
      </c>
      <c r="H107" s="11"/>
      <c r="I107" s="11"/>
      <c r="J107" s="11"/>
      <c r="K107" s="11"/>
      <c r="L107" s="11"/>
      <c r="M107" s="11"/>
      <c r="N107" s="11"/>
      <c r="O107" s="11"/>
      <c r="P107" s="11"/>
      <c r="Q107" s="11"/>
      <c r="R107" s="11"/>
      <c r="S107" s="11"/>
      <c r="T107" s="11"/>
      <c r="U107" s="11"/>
      <c r="V107" s="11"/>
      <c r="W107" s="11"/>
      <c r="X107" s="11"/>
      <c r="Y107" s="11"/>
      <c r="Z107" s="11"/>
    </row>
    <row r="108" spans="1:26" ht="22.5" customHeight="1">
      <c r="A108" s="11"/>
      <c r="B108" s="11"/>
      <c r="C108" s="11"/>
      <c r="D108" s="12" t="s">
        <v>633</v>
      </c>
      <c r="E108" s="11"/>
      <c r="F108" s="12" t="s">
        <v>634</v>
      </c>
      <c r="G108" s="12" t="s">
        <v>635</v>
      </c>
      <c r="H108" s="11"/>
      <c r="I108" s="11"/>
      <c r="J108" s="11"/>
      <c r="K108" s="11"/>
      <c r="L108" s="11"/>
      <c r="M108" s="11"/>
      <c r="N108" s="11"/>
      <c r="O108" s="11"/>
      <c r="P108" s="11"/>
      <c r="Q108" s="11"/>
      <c r="R108" s="11"/>
      <c r="S108" s="11"/>
      <c r="T108" s="11"/>
      <c r="U108" s="11"/>
      <c r="V108" s="11"/>
      <c r="W108" s="11"/>
      <c r="X108" s="11"/>
      <c r="Y108" s="11"/>
      <c r="Z108" s="11"/>
    </row>
    <row r="109" spans="1:26" ht="22.5" customHeight="1">
      <c r="A109" s="11"/>
      <c r="B109" s="11"/>
      <c r="C109" s="11"/>
      <c r="D109" s="12" t="s">
        <v>636</v>
      </c>
      <c r="E109" s="11"/>
      <c r="F109" s="12" t="s">
        <v>637</v>
      </c>
      <c r="G109" s="12" t="s">
        <v>638</v>
      </c>
      <c r="H109" s="11"/>
      <c r="I109" s="11"/>
      <c r="J109" s="11"/>
      <c r="K109" s="11"/>
      <c r="L109" s="11"/>
      <c r="M109" s="11"/>
      <c r="N109" s="11"/>
      <c r="O109" s="11"/>
      <c r="P109" s="11"/>
      <c r="Q109" s="11"/>
      <c r="R109" s="11"/>
      <c r="S109" s="11"/>
      <c r="T109" s="11"/>
      <c r="U109" s="11"/>
      <c r="V109" s="11"/>
      <c r="W109" s="11"/>
      <c r="X109" s="11"/>
      <c r="Y109" s="11"/>
      <c r="Z109" s="11"/>
    </row>
    <row r="110" spans="1:26" ht="22.5" customHeight="1">
      <c r="A110" s="11"/>
      <c r="B110" s="11"/>
      <c r="C110" s="11"/>
      <c r="D110" s="12" t="s">
        <v>639</v>
      </c>
      <c r="E110" s="11"/>
      <c r="F110" s="12" t="s">
        <v>640</v>
      </c>
      <c r="G110" s="12" t="s">
        <v>641</v>
      </c>
      <c r="H110" s="11"/>
      <c r="I110" s="11"/>
      <c r="J110" s="11"/>
      <c r="K110" s="11"/>
      <c r="L110" s="11"/>
      <c r="M110" s="11"/>
      <c r="N110" s="11"/>
      <c r="O110" s="11"/>
      <c r="P110" s="11"/>
      <c r="Q110" s="11"/>
      <c r="R110" s="11"/>
      <c r="S110" s="11"/>
      <c r="T110" s="11"/>
      <c r="U110" s="11"/>
      <c r="V110" s="11"/>
      <c r="W110" s="11"/>
      <c r="X110" s="11"/>
      <c r="Y110" s="11"/>
      <c r="Z110" s="11"/>
    </row>
    <row r="111" spans="1:26" ht="22.5" customHeight="1">
      <c r="A111" s="11"/>
      <c r="B111" s="11"/>
      <c r="C111" s="11"/>
      <c r="D111" s="12" t="s">
        <v>642</v>
      </c>
      <c r="E111" s="11"/>
      <c r="F111" s="12" t="s">
        <v>643</v>
      </c>
      <c r="G111" s="12" t="s">
        <v>644</v>
      </c>
      <c r="H111" s="11"/>
      <c r="I111" s="11"/>
      <c r="J111" s="11"/>
      <c r="K111" s="11"/>
      <c r="L111" s="11"/>
      <c r="M111" s="11"/>
      <c r="N111" s="11"/>
      <c r="O111" s="11"/>
      <c r="P111" s="11"/>
      <c r="Q111" s="11"/>
      <c r="R111" s="11"/>
      <c r="S111" s="11"/>
      <c r="T111" s="11"/>
      <c r="U111" s="11"/>
      <c r="V111" s="11"/>
      <c r="W111" s="11"/>
      <c r="X111" s="11"/>
      <c r="Y111" s="11"/>
      <c r="Z111" s="11"/>
    </row>
    <row r="112" spans="1:26" ht="22.5" customHeight="1">
      <c r="A112" s="11"/>
      <c r="B112" s="11"/>
      <c r="C112" s="11"/>
      <c r="D112" s="12" t="s">
        <v>634</v>
      </c>
      <c r="E112" s="11"/>
      <c r="F112" s="12" t="s">
        <v>645</v>
      </c>
      <c r="G112" s="11"/>
      <c r="H112" s="11"/>
      <c r="I112" s="11"/>
      <c r="J112" s="11"/>
      <c r="K112" s="11"/>
      <c r="L112" s="11"/>
      <c r="M112" s="11"/>
      <c r="N112" s="11"/>
      <c r="O112" s="11"/>
      <c r="P112" s="11"/>
      <c r="Q112" s="11"/>
      <c r="R112" s="11"/>
      <c r="S112" s="11"/>
      <c r="T112" s="11"/>
      <c r="U112" s="11"/>
      <c r="V112" s="11"/>
      <c r="W112" s="11"/>
      <c r="X112" s="11"/>
      <c r="Y112" s="11"/>
      <c r="Z112" s="11"/>
    </row>
    <row r="113" spans="1:26" ht="22.5" customHeight="1">
      <c r="A113" s="11"/>
      <c r="B113" s="11"/>
      <c r="C113" s="11"/>
      <c r="D113" s="12" t="s">
        <v>498</v>
      </c>
      <c r="E113" s="11"/>
      <c r="F113" s="12" t="s">
        <v>646</v>
      </c>
      <c r="G113" s="11"/>
      <c r="H113" s="11"/>
      <c r="I113" s="11"/>
      <c r="J113" s="11"/>
      <c r="K113" s="11"/>
      <c r="L113" s="11"/>
      <c r="M113" s="11"/>
      <c r="N113" s="11"/>
      <c r="O113" s="11"/>
      <c r="P113" s="11"/>
      <c r="Q113" s="11"/>
      <c r="R113" s="11"/>
      <c r="S113" s="11"/>
      <c r="T113" s="11"/>
      <c r="U113" s="11"/>
      <c r="V113" s="11"/>
      <c r="W113" s="11"/>
      <c r="X113" s="11"/>
      <c r="Y113" s="11"/>
      <c r="Z113" s="11"/>
    </row>
    <row r="114" spans="1:26" ht="22.5" customHeight="1">
      <c r="A114" s="11"/>
      <c r="B114" s="11"/>
      <c r="C114" s="11"/>
      <c r="D114" s="12" t="s">
        <v>647</v>
      </c>
      <c r="E114" s="11"/>
      <c r="F114" s="12" t="s">
        <v>648</v>
      </c>
      <c r="G114" s="11"/>
      <c r="H114" s="11"/>
      <c r="I114" s="11"/>
      <c r="J114" s="11"/>
      <c r="K114" s="11"/>
      <c r="L114" s="11"/>
      <c r="M114" s="11"/>
      <c r="N114" s="11"/>
      <c r="O114" s="11"/>
      <c r="P114" s="11"/>
      <c r="Q114" s="11"/>
      <c r="R114" s="11"/>
      <c r="S114" s="11"/>
      <c r="T114" s="11"/>
      <c r="U114" s="11"/>
      <c r="V114" s="11"/>
      <c r="W114" s="11"/>
      <c r="X114" s="11"/>
      <c r="Y114" s="11"/>
      <c r="Z114" s="11"/>
    </row>
    <row r="115" spans="1:26" ht="22.5" customHeight="1">
      <c r="A115" s="11"/>
      <c r="B115" s="11"/>
      <c r="C115" s="11"/>
      <c r="D115" s="12" t="s">
        <v>649</v>
      </c>
      <c r="E115" s="11"/>
      <c r="F115" s="12" t="s">
        <v>650</v>
      </c>
      <c r="G115" s="11"/>
      <c r="H115" s="11"/>
      <c r="I115" s="11"/>
      <c r="J115" s="11"/>
      <c r="K115" s="11"/>
      <c r="L115" s="11"/>
      <c r="M115" s="11"/>
      <c r="N115" s="11"/>
      <c r="O115" s="11"/>
      <c r="P115" s="11"/>
      <c r="Q115" s="11"/>
      <c r="R115" s="11"/>
      <c r="S115" s="11"/>
      <c r="T115" s="11"/>
      <c r="U115" s="11"/>
      <c r="V115" s="11"/>
      <c r="W115" s="11"/>
      <c r="X115" s="11"/>
      <c r="Y115" s="11"/>
      <c r="Z115" s="11"/>
    </row>
    <row r="116" spans="1:26" ht="22.5" customHeight="1">
      <c r="A116" s="11"/>
      <c r="B116" s="11"/>
      <c r="C116" s="11"/>
      <c r="D116" s="12" t="s">
        <v>651</v>
      </c>
      <c r="E116" s="11"/>
      <c r="F116" s="12" t="s">
        <v>652</v>
      </c>
      <c r="G116" s="11"/>
      <c r="H116" s="11"/>
      <c r="I116" s="11"/>
      <c r="J116" s="11"/>
      <c r="K116" s="11"/>
      <c r="L116" s="11"/>
      <c r="M116" s="11"/>
      <c r="N116" s="11"/>
      <c r="O116" s="11"/>
      <c r="P116" s="11"/>
      <c r="Q116" s="11"/>
      <c r="R116" s="11"/>
      <c r="S116" s="11"/>
      <c r="T116" s="11"/>
      <c r="U116" s="11"/>
      <c r="V116" s="11"/>
      <c r="W116" s="11"/>
      <c r="X116" s="11"/>
      <c r="Y116" s="11"/>
      <c r="Z116" s="11"/>
    </row>
    <row r="117" spans="1:26" ht="22.5" customHeight="1">
      <c r="A117" s="11"/>
      <c r="B117" s="11"/>
      <c r="C117" s="11"/>
      <c r="D117" s="12" t="s">
        <v>653</v>
      </c>
      <c r="E117" s="11"/>
      <c r="F117" s="12" t="s">
        <v>654</v>
      </c>
      <c r="G117" s="11"/>
      <c r="H117" s="11"/>
      <c r="I117" s="11"/>
      <c r="J117" s="11"/>
      <c r="K117" s="11"/>
      <c r="L117" s="11"/>
      <c r="M117" s="11"/>
      <c r="N117" s="11"/>
      <c r="O117" s="11"/>
      <c r="P117" s="11"/>
      <c r="Q117" s="11"/>
      <c r="R117" s="11"/>
      <c r="S117" s="11"/>
      <c r="T117" s="11"/>
      <c r="U117" s="11"/>
      <c r="V117" s="11"/>
      <c r="W117" s="11"/>
      <c r="X117" s="11"/>
      <c r="Y117" s="11"/>
      <c r="Z117" s="11"/>
    </row>
    <row r="118" spans="1:26" ht="22.5" customHeight="1">
      <c r="A118" s="11"/>
      <c r="B118" s="11"/>
      <c r="C118" s="11"/>
      <c r="D118" s="12" t="s">
        <v>500</v>
      </c>
      <c r="E118" s="11"/>
      <c r="F118" s="12" t="s">
        <v>655</v>
      </c>
      <c r="G118" s="11"/>
      <c r="H118" s="11"/>
      <c r="I118" s="11"/>
      <c r="J118" s="11"/>
      <c r="K118" s="11"/>
      <c r="L118" s="11"/>
      <c r="M118" s="11"/>
      <c r="N118" s="11"/>
      <c r="O118" s="11"/>
      <c r="P118" s="11"/>
      <c r="Q118" s="11"/>
      <c r="R118" s="11"/>
      <c r="S118" s="11"/>
      <c r="T118" s="11"/>
      <c r="U118" s="11"/>
      <c r="V118" s="11"/>
      <c r="W118" s="11"/>
      <c r="X118" s="11"/>
      <c r="Y118" s="11"/>
      <c r="Z118" s="11"/>
    </row>
    <row r="119" spans="1:26" ht="22.5" customHeight="1">
      <c r="A119" s="11"/>
      <c r="B119" s="11"/>
      <c r="C119" s="11"/>
      <c r="D119" s="12" t="s">
        <v>656</v>
      </c>
      <c r="E119" s="11"/>
      <c r="F119" s="12" t="s">
        <v>657</v>
      </c>
      <c r="G119" s="11"/>
      <c r="H119" s="11"/>
      <c r="I119" s="11"/>
      <c r="J119" s="11"/>
      <c r="K119" s="11"/>
      <c r="L119" s="11"/>
      <c r="M119" s="11"/>
      <c r="N119" s="11"/>
      <c r="O119" s="11"/>
      <c r="P119" s="11"/>
      <c r="Q119" s="11"/>
      <c r="R119" s="11"/>
      <c r="S119" s="11"/>
      <c r="T119" s="11"/>
      <c r="U119" s="11"/>
      <c r="V119" s="11"/>
      <c r="W119" s="11"/>
      <c r="X119" s="11"/>
      <c r="Y119" s="11"/>
      <c r="Z119" s="11"/>
    </row>
    <row r="120" spans="1:26" ht="22.5" customHeight="1">
      <c r="A120" s="11"/>
      <c r="B120" s="11"/>
      <c r="C120" s="11"/>
      <c r="D120" s="12" t="s">
        <v>658</v>
      </c>
      <c r="E120" s="11"/>
      <c r="F120" s="12" t="s">
        <v>659</v>
      </c>
      <c r="G120" s="11"/>
      <c r="H120" s="11"/>
      <c r="I120" s="11"/>
      <c r="J120" s="11"/>
      <c r="K120" s="11"/>
      <c r="L120" s="11"/>
      <c r="M120" s="11"/>
      <c r="N120" s="11"/>
      <c r="O120" s="11"/>
      <c r="P120" s="11"/>
      <c r="Q120" s="11"/>
      <c r="R120" s="11"/>
      <c r="S120" s="11"/>
      <c r="T120" s="11"/>
      <c r="U120" s="11"/>
      <c r="V120" s="11"/>
      <c r="W120" s="11"/>
      <c r="X120" s="11"/>
      <c r="Y120" s="11"/>
      <c r="Z120" s="11"/>
    </row>
    <row r="121" spans="1:26" ht="22.5" customHeight="1">
      <c r="A121" s="11"/>
      <c r="B121" s="11"/>
      <c r="C121" s="11"/>
      <c r="D121" s="12" t="s">
        <v>660</v>
      </c>
      <c r="E121" s="11"/>
      <c r="F121" s="12" t="s">
        <v>661</v>
      </c>
      <c r="G121" s="11"/>
      <c r="H121" s="11"/>
      <c r="I121" s="11"/>
      <c r="J121" s="11"/>
      <c r="K121" s="11"/>
      <c r="L121" s="11"/>
      <c r="M121" s="11"/>
      <c r="N121" s="11"/>
      <c r="O121" s="11"/>
      <c r="P121" s="11"/>
      <c r="Q121" s="11"/>
      <c r="R121" s="11"/>
      <c r="S121" s="11"/>
      <c r="T121" s="11"/>
      <c r="U121" s="11"/>
      <c r="V121" s="11"/>
      <c r="W121" s="11"/>
      <c r="X121" s="11"/>
      <c r="Y121" s="11"/>
      <c r="Z121" s="11"/>
    </row>
    <row r="122" spans="1:26" ht="22.5" customHeight="1">
      <c r="A122" s="11"/>
      <c r="B122" s="11"/>
      <c r="C122" s="11"/>
      <c r="D122" s="12" t="s">
        <v>662</v>
      </c>
      <c r="E122" s="11"/>
      <c r="F122" s="12" t="s">
        <v>663</v>
      </c>
      <c r="G122" s="11"/>
      <c r="H122" s="11"/>
      <c r="I122" s="11"/>
      <c r="J122" s="11"/>
      <c r="K122" s="11"/>
      <c r="L122" s="11"/>
      <c r="M122" s="11"/>
      <c r="N122" s="11"/>
      <c r="O122" s="11"/>
      <c r="P122" s="11"/>
      <c r="Q122" s="11"/>
      <c r="R122" s="11"/>
      <c r="S122" s="11"/>
      <c r="T122" s="11"/>
      <c r="U122" s="11"/>
      <c r="V122" s="11"/>
      <c r="W122" s="11"/>
      <c r="X122" s="11"/>
      <c r="Y122" s="11"/>
      <c r="Z122" s="11"/>
    </row>
    <row r="123" spans="1:26" ht="22.5" customHeight="1">
      <c r="A123" s="11"/>
      <c r="B123" s="11"/>
      <c r="C123" s="11"/>
      <c r="D123" s="12" t="s">
        <v>664</v>
      </c>
      <c r="E123" s="11"/>
      <c r="F123" s="12" t="s">
        <v>665</v>
      </c>
      <c r="G123" s="11"/>
      <c r="H123" s="11"/>
      <c r="I123" s="11"/>
      <c r="J123" s="11"/>
      <c r="K123" s="11"/>
      <c r="L123" s="11"/>
      <c r="M123" s="11"/>
      <c r="N123" s="11"/>
      <c r="O123" s="11"/>
      <c r="P123" s="11"/>
      <c r="Q123" s="11"/>
      <c r="R123" s="11"/>
      <c r="S123" s="11"/>
      <c r="T123" s="11"/>
      <c r="U123" s="11"/>
      <c r="V123" s="11"/>
      <c r="W123" s="11"/>
      <c r="X123" s="11"/>
      <c r="Y123" s="11"/>
      <c r="Z123" s="11"/>
    </row>
    <row r="124" spans="1:26" ht="22.5" customHeight="1">
      <c r="A124" s="11"/>
      <c r="B124" s="11"/>
      <c r="C124" s="11"/>
      <c r="D124" s="12" t="s">
        <v>666</v>
      </c>
      <c r="E124" s="11"/>
      <c r="F124" s="12" t="s">
        <v>667</v>
      </c>
      <c r="G124" s="11"/>
      <c r="H124" s="11"/>
      <c r="I124" s="11"/>
      <c r="J124" s="11"/>
      <c r="K124" s="11"/>
      <c r="L124" s="11"/>
      <c r="M124" s="11"/>
      <c r="N124" s="11"/>
      <c r="O124" s="11"/>
      <c r="P124" s="11"/>
      <c r="Q124" s="11"/>
      <c r="R124" s="11"/>
      <c r="S124" s="11"/>
      <c r="T124" s="11"/>
      <c r="U124" s="11"/>
      <c r="V124" s="11"/>
      <c r="W124" s="11"/>
      <c r="X124" s="11"/>
      <c r="Y124" s="11"/>
      <c r="Z124" s="11"/>
    </row>
    <row r="125" spans="1:26" ht="22.5" customHeight="1">
      <c r="A125" s="11"/>
      <c r="B125" s="11"/>
      <c r="C125" s="11"/>
      <c r="D125" s="12" t="s">
        <v>668</v>
      </c>
      <c r="E125" s="11"/>
      <c r="F125" s="12" t="s">
        <v>669</v>
      </c>
      <c r="G125" s="11"/>
      <c r="H125" s="11"/>
      <c r="I125" s="11"/>
      <c r="J125" s="11"/>
      <c r="K125" s="11"/>
      <c r="L125" s="11"/>
      <c r="M125" s="11"/>
      <c r="N125" s="11"/>
      <c r="O125" s="11"/>
      <c r="P125" s="11"/>
      <c r="Q125" s="11"/>
      <c r="R125" s="11"/>
      <c r="S125" s="11"/>
      <c r="T125" s="11"/>
      <c r="U125" s="11"/>
      <c r="V125" s="11"/>
      <c r="W125" s="11"/>
      <c r="X125" s="11"/>
      <c r="Y125" s="11"/>
      <c r="Z125" s="11"/>
    </row>
    <row r="126" spans="1:26" ht="22.5" customHeight="1">
      <c r="A126" s="11"/>
      <c r="B126" s="11"/>
      <c r="C126" s="11"/>
      <c r="D126" s="12" t="s">
        <v>670</v>
      </c>
      <c r="E126" s="11"/>
      <c r="F126" s="12" t="s">
        <v>671</v>
      </c>
      <c r="G126" s="11"/>
      <c r="H126" s="11"/>
      <c r="I126" s="11"/>
      <c r="J126" s="11"/>
      <c r="K126" s="11"/>
      <c r="L126" s="11"/>
      <c r="M126" s="11"/>
      <c r="N126" s="11"/>
      <c r="O126" s="11"/>
      <c r="P126" s="11"/>
      <c r="Q126" s="11"/>
      <c r="R126" s="11"/>
      <c r="S126" s="11"/>
      <c r="T126" s="11"/>
      <c r="U126" s="11"/>
      <c r="V126" s="11"/>
      <c r="W126" s="11"/>
      <c r="X126" s="11"/>
      <c r="Y126" s="11"/>
      <c r="Z126" s="11"/>
    </row>
    <row r="127" spans="1:26" ht="22.5" customHeight="1">
      <c r="A127" s="11"/>
      <c r="B127" s="11"/>
      <c r="C127" s="11"/>
      <c r="D127" s="12" t="s">
        <v>672</v>
      </c>
      <c r="E127" s="11"/>
      <c r="F127" s="12" t="s">
        <v>673</v>
      </c>
      <c r="G127" s="11"/>
      <c r="H127" s="11"/>
      <c r="I127" s="11"/>
      <c r="J127" s="11"/>
      <c r="K127" s="11"/>
      <c r="L127" s="11"/>
      <c r="M127" s="11"/>
      <c r="N127" s="11"/>
      <c r="O127" s="11"/>
      <c r="P127" s="11"/>
      <c r="Q127" s="11"/>
      <c r="R127" s="11"/>
      <c r="S127" s="11"/>
      <c r="T127" s="11"/>
      <c r="U127" s="11"/>
      <c r="V127" s="11"/>
      <c r="W127" s="11"/>
      <c r="X127" s="11"/>
      <c r="Y127" s="11"/>
      <c r="Z127" s="11"/>
    </row>
    <row r="128" spans="1:26" ht="22.5" customHeight="1">
      <c r="A128" s="11"/>
      <c r="B128" s="11"/>
      <c r="C128" s="11"/>
      <c r="D128" s="12" t="s">
        <v>674</v>
      </c>
      <c r="E128" s="11"/>
      <c r="F128" s="12" t="s">
        <v>675</v>
      </c>
      <c r="G128" s="11"/>
      <c r="H128" s="11"/>
      <c r="I128" s="11"/>
      <c r="J128" s="11"/>
      <c r="K128" s="11"/>
      <c r="L128" s="11"/>
      <c r="M128" s="11"/>
      <c r="N128" s="11"/>
      <c r="O128" s="11"/>
      <c r="P128" s="11"/>
      <c r="Q128" s="11"/>
      <c r="R128" s="11"/>
      <c r="S128" s="11"/>
      <c r="T128" s="11"/>
      <c r="U128" s="11"/>
      <c r="V128" s="11"/>
      <c r="W128" s="11"/>
      <c r="X128" s="11"/>
      <c r="Y128" s="11"/>
      <c r="Z128" s="11"/>
    </row>
    <row r="129" spans="1:26" ht="22.5" customHeight="1">
      <c r="A129" s="11"/>
      <c r="B129" s="11"/>
      <c r="C129" s="11"/>
      <c r="D129" s="12" t="s">
        <v>676</v>
      </c>
      <c r="E129" s="11"/>
      <c r="F129" s="12" t="s">
        <v>677</v>
      </c>
      <c r="G129" s="11"/>
      <c r="H129" s="11"/>
      <c r="I129" s="11"/>
      <c r="J129" s="11"/>
      <c r="K129" s="11"/>
      <c r="L129" s="11"/>
      <c r="M129" s="11"/>
      <c r="N129" s="11"/>
      <c r="O129" s="11"/>
      <c r="P129" s="11"/>
      <c r="Q129" s="11"/>
      <c r="R129" s="11"/>
      <c r="S129" s="11"/>
      <c r="T129" s="11"/>
      <c r="U129" s="11"/>
      <c r="V129" s="11"/>
      <c r="W129" s="11"/>
      <c r="X129" s="11"/>
      <c r="Y129" s="11"/>
      <c r="Z129" s="11"/>
    </row>
    <row r="130" spans="1:26" ht="22.5" customHeight="1">
      <c r="A130" s="11"/>
      <c r="B130" s="11"/>
      <c r="C130" s="11"/>
      <c r="D130" s="12" t="s">
        <v>678</v>
      </c>
      <c r="E130" s="11"/>
      <c r="F130" s="12" t="s">
        <v>679</v>
      </c>
      <c r="G130" s="11"/>
      <c r="H130" s="11"/>
      <c r="I130" s="11"/>
      <c r="J130" s="11"/>
      <c r="K130" s="11"/>
      <c r="L130" s="11"/>
      <c r="M130" s="11"/>
      <c r="N130" s="11"/>
      <c r="O130" s="11"/>
      <c r="P130" s="11"/>
      <c r="Q130" s="11"/>
      <c r="R130" s="11"/>
      <c r="S130" s="11"/>
      <c r="T130" s="11"/>
      <c r="U130" s="11"/>
      <c r="V130" s="11"/>
      <c r="W130" s="11"/>
      <c r="X130" s="11"/>
      <c r="Y130" s="11"/>
      <c r="Z130" s="11"/>
    </row>
    <row r="131" spans="1:26" ht="22.5" customHeight="1">
      <c r="A131" s="11"/>
      <c r="B131" s="11"/>
      <c r="C131" s="11"/>
      <c r="D131" s="12" t="s">
        <v>680</v>
      </c>
      <c r="E131" s="11"/>
      <c r="F131" s="12" t="s">
        <v>681</v>
      </c>
      <c r="G131" s="11"/>
      <c r="H131" s="11"/>
      <c r="I131" s="11"/>
      <c r="J131" s="11"/>
      <c r="K131" s="11"/>
      <c r="L131" s="11"/>
      <c r="M131" s="11"/>
      <c r="N131" s="11"/>
      <c r="O131" s="11"/>
      <c r="P131" s="11"/>
      <c r="Q131" s="11"/>
      <c r="R131" s="11"/>
      <c r="S131" s="11"/>
      <c r="T131" s="11"/>
      <c r="U131" s="11"/>
      <c r="V131" s="11"/>
      <c r="W131" s="11"/>
      <c r="X131" s="11"/>
      <c r="Y131" s="11"/>
      <c r="Z131" s="11"/>
    </row>
    <row r="132" spans="1:26" ht="22.5" customHeight="1">
      <c r="A132" s="11"/>
      <c r="B132" s="11"/>
      <c r="C132" s="11"/>
      <c r="D132" s="12" t="s">
        <v>682</v>
      </c>
      <c r="E132" s="11"/>
      <c r="F132" s="12" t="s">
        <v>683</v>
      </c>
      <c r="G132" s="11"/>
      <c r="H132" s="11"/>
      <c r="I132" s="11"/>
      <c r="J132" s="11"/>
      <c r="K132" s="11"/>
      <c r="L132" s="11"/>
      <c r="M132" s="11"/>
      <c r="N132" s="11"/>
      <c r="O132" s="11"/>
      <c r="P132" s="11"/>
      <c r="Q132" s="11"/>
      <c r="R132" s="11"/>
      <c r="S132" s="11"/>
      <c r="T132" s="11"/>
      <c r="U132" s="11"/>
      <c r="V132" s="11"/>
      <c r="W132" s="11"/>
      <c r="X132" s="11"/>
      <c r="Y132" s="11"/>
      <c r="Z132" s="11"/>
    </row>
    <row r="133" spans="1:26" ht="22.5" customHeight="1">
      <c r="A133" s="11"/>
      <c r="B133" s="11"/>
      <c r="C133" s="11"/>
      <c r="D133" s="12" t="s">
        <v>684</v>
      </c>
      <c r="E133" s="11"/>
      <c r="F133" s="12" t="s">
        <v>685</v>
      </c>
      <c r="G133" s="11"/>
      <c r="H133" s="11"/>
      <c r="I133" s="11"/>
      <c r="J133" s="11"/>
      <c r="K133" s="11"/>
      <c r="L133" s="11"/>
      <c r="M133" s="11"/>
      <c r="N133" s="11"/>
      <c r="O133" s="11"/>
      <c r="P133" s="11"/>
      <c r="Q133" s="11"/>
      <c r="R133" s="11"/>
      <c r="S133" s="11"/>
      <c r="T133" s="11"/>
      <c r="U133" s="11"/>
      <c r="V133" s="11"/>
      <c r="W133" s="11"/>
      <c r="X133" s="11"/>
      <c r="Y133" s="11"/>
      <c r="Z133" s="11"/>
    </row>
    <row r="134" spans="1:26" ht="22.5" customHeight="1">
      <c r="A134" s="11"/>
      <c r="B134" s="11"/>
      <c r="C134" s="11"/>
      <c r="D134" s="12" t="s">
        <v>686</v>
      </c>
      <c r="E134" s="11"/>
      <c r="F134" s="12" t="s">
        <v>687</v>
      </c>
      <c r="G134" s="11"/>
      <c r="H134" s="11"/>
      <c r="I134" s="11"/>
      <c r="J134" s="11"/>
      <c r="K134" s="11"/>
      <c r="L134" s="11"/>
      <c r="M134" s="11"/>
      <c r="N134" s="11"/>
      <c r="O134" s="11"/>
      <c r="P134" s="11"/>
      <c r="Q134" s="11"/>
      <c r="R134" s="11"/>
      <c r="S134" s="11"/>
      <c r="T134" s="11"/>
      <c r="U134" s="11"/>
      <c r="V134" s="11"/>
      <c r="W134" s="11"/>
      <c r="X134" s="11"/>
      <c r="Y134" s="11"/>
      <c r="Z134" s="11"/>
    </row>
    <row r="135" spans="1:26" ht="22.5" customHeight="1">
      <c r="A135" s="11"/>
      <c r="B135" s="11"/>
      <c r="C135" s="11"/>
      <c r="D135" s="12" t="s">
        <v>688</v>
      </c>
      <c r="E135" s="11"/>
      <c r="F135" s="12" t="s">
        <v>689</v>
      </c>
      <c r="G135" s="11"/>
      <c r="H135" s="11"/>
      <c r="I135" s="11"/>
      <c r="J135" s="11"/>
      <c r="K135" s="11"/>
      <c r="L135" s="11"/>
      <c r="M135" s="11"/>
      <c r="N135" s="11"/>
      <c r="O135" s="11"/>
      <c r="P135" s="11"/>
      <c r="Q135" s="11"/>
      <c r="R135" s="11"/>
      <c r="S135" s="11"/>
      <c r="T135" s="11"/>
      <c r="U135" s="11"/>
      <c r="V135" s="11"/>
      <c r="W135" s="11"/>
      <c r="X135" s="11"/>
      <c r="Y135" s="11"/>
      <c r="Z135" s="11"/>
    </row>
    <row r="136" spans="1:26" ht="22.5" customHeight="1">
      <c r="A136" s="11"/>
      <c r="B136" s="11"/>
      <c r="C136" s="11"/>
      <c r="D136" s="12" t="s">
        <v>690</v>
      </c>
      <c r="E136" s="11"/>
      <c r="F136" s="12" t="s">
        <v>691</v>
      </c>
      <c r="G136" s="11"/>
      <c r="H136" s="11"/>
      <c r="I136" s="11"/>
      <c r="J136" s="11"/>
      <c r="K136" s="11"/>
      <c r="L136" s="11"/>
      <c r="M136" s="11"/>
      <c r="N136" s="11"/>
      <c r="O136" s="11"/>
      <c r="P136" s="11"/>
      <c r="Q136" s="11"/>
      <c r="R136" s="11"/>
      <c r="S136" s="11"/>
      <c r="T136" s="11"/>
      <c r="U136" s="11"/>
      <c r="V136" s="11"/>
      <c r="W136" s="11"/>
      <c r="X136" s="11"/>
      <c r="Y136" s="11"/>
      <c r="Z136" s="11"/>
    </row>
    <row r="137" spans="1:26" ht="22.5" customHeight="1">
      <c r="A137" s="11"/>
      <c r="B137" s="11"/>
      <c r="C137" s="11"/>
      <c r="D137" s="12" t="s">
        <v>692</v>
      </c>
      <c r="E137" s="11"/>
      <c r="F137" s="12" t="s">
        <v>693</v>
      </c>
      <c r="G137" s="11"/>
      <c r="H137" s="11"/>
      <c r="I137" s="11"/>
      <c r="J137" s="11"/>
      <c r="K137" s="11"/>
      <c r="L137" s="11"/>
      <c r="M137" s="11"/>
      <c r="N137" s="11"/>
      <c r="O137" s="11"/>
      <c r="P137" s="11"/>
      <c r="Q137" s="11"/>
      <c r="R137" s="11"/>
      <c r="S137" s="11"/>
      <c r="T137" s="11"/>
      <c r="U137" s="11"/>
      <c r="V137" s="11"/>
      <c r="W137" s="11"/>
      <c r="X137" s="11"/>
      <c r="Y137" s="11"/>
      <c r="Z137" s="11"/>
    </row>
    <row r="138" spans="1:26" ht="22.5" customHeight="1">
      <c r="A138" s="11"/>
      <c r="B138" s="11"/>
      <c r="C138" s="11"/>
      <c r="D138" s="12" t="s">
        <v>694</v>
      </c>
      <c r="E138" s="11"/>
      <c r="F138" s="12" t="s">
        <v>695</v>
      </c>
      <c r="G138" s="11"/>
      <c r="H138" s="11"/>
      <c r="I138" s="11"/>
      <c r="J138" s="11"/>
      <c r="K138" s="11"/>
      <c r="L138" s="11"/>
      <c r="M138" s="11"/>
      <c r="N138" s="11"/>
      <c r="O138" s="11"/>
      <c r="P138" s="11"/>
      <c r="Q138" s="11"/>
      <c r="R138" s="11"/>
      <c r="S138" s="11"/>
      <c r="T138" s="11"/>
      <c r="U138" s="11"/>
      <c r="V138" s="11"/>
      <c r="W138" s="11"/>
      <c r="X138" s="11"/>
      <c r="Y138" s="11"/>
      <c r="Z138" s="11"/>
    </row>
    <row r="139" spans="1:26" ht="22.5" customHeight="1">
      <c r="A139" s="11"/>
      <c r="B139" s="11"/>
      <c r="C139" s="11"/>
      <c r="D139" s="12" t="s">
        <v>696</v>
      </c>
      <c r="E139" s="11"/>
      <c r="F139" s="12" t="s">
        <v>697</v>
      </c>
      <c r="G139" s="11"/>
      <c r="H139" s="11"/>
      <c r="I139" s="11"/>
      <c r="J139" s="11"/>
      <c r="K139" s="11"/>
      <c r="L139" s="11"/>
      <c r="M139" s="11"/>
      <c r="N139" s="11"/>
      <c r="O139" s="11"/>
      <c r="P139" s="11"/>
      <c r="Q139" s="11"/>
      <c r="R139" s="11"/>
      <c r="S139" s="11"/>
      <c r="T139" s="11"/>
      <c r="U139" s="11"/>
      <c r="V139" s="11"/>
      <c r="W139" s="11"/>
      <c r="X139" s="11"/>
      <c r="Y139" s="11"/>
      <c r="Z139" s="11"/>
    </row>
    <row r="140" spans="1:26" ht="22.5" customHeight="1">
      <c r="A140" s="11"/>
      <c r="B140" s="11"/>
      <c r="C140" s="11"/>
      <c r="D140" s="12" t="s">
        <v>698</v>
      </c>
      <c r="E140" s="11"/>
      <c r="F140" s="12" t="s">
        <v>699</v>
      </c>
      <c r="G140" s="11"/>
      <c r="H140" s="11"/>
      <c r="I140" s="11"/>
      <c r="J140" s="11"/>
      <c r="K140" s="11"/>
      <c r="L140" s="11"/>
      <c r="M140" s="11"/>
      <c r="N140" s="11"/>
      <c r="O140" s="11"/>
      <c r="P140" s="11"/>
      <c r="Q140" s="11"/>
      <c r="R140" s="11"/>
      <c r="S140" s="11"/>
      <c r="T140" s="11"/>
      <c r="U140" s="11"/>
      <c r="V140" s="11"/>
      <c r="W140" s="11"/>
      <c r="X140" s="11"/>
      <c r="Y140" s="11"/>
      <c r="Z140" s="11"/>
    </row>
    <row r="141" spans="1:26" ht="22.5" customHeight="1">
      <c r="A141" s="11"/>
      <c r="B141" s="11"/>
      <c r="C141" s="11"/>
      <c r="D141" s="12" t="s">
        <v>700</v>
      </c>
      <c r="E141" s="11"/>
      <c r="F141" s="12" t="s">
        <v>247</v>
      </c>
      <c r="G141" s="11"/>
      <c r="H141" s="11"/>
      <c r="I141" s="11"/>
      <c r="J141" s="11"/>
      <c r="K141" s="11"/>
      <c r="L141" s="11"/>
      <c r="M141" s="11"/>
      <c r="N141" s="11"/>
      <c r="O141" s="11"/>
      <c r="P141" s="11"/>
      <c r="Q141" s="11"/>
      <c r="R141" s="11"/>
      <c r="S141" s="11"/>
      <c r="T141" s="11"/>
      <c r="U141" s="11"/>
      <c r="V141" s="11"/>
      <c r="W141" s="11"/>
      <c r="X141" s="11"/>
      <c r="Y141" s="11"/>
      <c r="Z141" s="11"/>
    </row>
    <row r="142" spans="1:26" ht="22.5" customHeight="1">
      <c r="A142" s="11"/>
      <c r="B142" s="11"/>
      <c r="C142" s="11"/>
      <c r="D142" s="12" t="s">
        <v>701</v>
      </c>
      <c r="E142" s="11"/>
      <c r="F142" s="12" t="s">
        <v>702</v>
      </c>
      <c r="G142" s="11"/>
      <c r="H142" s="11"/>
      <c r="I142" s="11"/>
      <c r="J142" s="11"/>
      <c r="K142" s="11"/>
      <c r="L142" s="11"/>
      <c r="M142" s="11"/>
      <c r="N142" s="11"/>
      <c r="O142" s="11"/>
      <c r="P142" s="11"/>
      <c r="Q142" s="11"/>
      <c r="R142" s="11"/>
      <c r="S142" s="11"/>
      <c r="T142" s="11"/>
      <c r="U142" s="11"/>
      <c r="V142" s="11"/>
      <c r="W142" s="11"/>
      <c r="X142" s="11"/>
      <c r="Y142" s="11"/>
      <c r="Z142" s="11"/>
    </row>
    <row r="143" spans="1:26" ht="22.5" customHeight="1">
      <c r="A143" s="11"/>
      <c r="B143" s="11"/>
      <c r="C143" s="11"/>
      <c r="D143" s="12" t="s">
        <v>703</v>
      </c>
      <c r="E143" s="11"/>
      <c r="F143" s="12" t="s">
        <v>704</v>
      </c>
      <c r="G143" s="11"/>
      <c r="H143" s="11"/>
      <c r="I143" s="11"/>
      <c r="J143" s="11"/>
      <c r="K143" s="11"/>
      <c r="L143" s="11"/>
      <c r="M143" s="11"/>
      <c r="N143" s="11"/>
      <c r="O143" s="11"/>
      <c r="P143" s="11"/>
      <c r="Q143" s="11"/>
      <c r="R143" s="11"/>
      <c r="S143" s="11"/>
      <c r="T143" s="11"/>
      <c r="U143" s="11"/>
      <c r="V143" s="11"/>
      <c r="W143" s="11"/>
      <c r="X143" s="11"/>
      <c r="Y143" s="11"/>
      <c r="Z143" s="11"/>
    </row>
    <row r="144" spans="1:26" ht="22.5" customHeight="1">
      <c r="A144" s="11"/>
      <c r="B144" s="11"/>
      <c r="C144" s="11"/>
      <c r="D144" s="12" t="s">
        <v>705</v>
      </c>
      <c r="E144" s="11"/>
      <c r="F144" s="12" t="s">
        <v>706</v>
      </c>
      <c r="G144" s="11"/>
      <c r="H144" s="11"/>
      <c r="I144" s="11"/>
      <c r="J144" s="11"/>
      <c r="K144" s="11"/>
      <c r="L144" s="11"/>
      <c r="M144" s="11"/>
      <c r="N144" s="11"/>
      <c r="O144" s="11"/>
      <c r="P144" s="11"/>
      <c r="Q144" s="11"/>
      <c r="R144" s="11"/>
      <c r="S144" s="11"/>
      <c r="T144" s="11"/>
      <c r="U144" s="11"/>
      <c r="V144" s="11"/>
      <c r="W144" s="11"/>
      <c r="X144" s="11"/>
      <c r="Y144" s="11"/>
      <c r="Z144" s="11"/>
    </row>
    <row r="145" spans="1:26" ht="22.5" customHeight="1">
      <c r="A145" s="11"/>
      <c r="B145" s="11"/>
      <c r="C145" s="11"/>
      <c r="D145" s="12" t="s">
        <v>707</v>
      </c>
      <c r="E145" s="11"/>
      <c r="F145" s="12" t="s">
        <v>708</v>
      </c>
      <c r="G145" s="11"/>
      <c r="H145" s="11"/>
      <c r="I145" s="11"/>
      <c r="J145" s="11"/>
      <c r="K145" s="11"/>
      <c r="L145" s="11"/>
      <c r="M145" s="11"/>
      <c r="N145" s="11"/>
      <c r="O145" s="11"/>
      <c r="P145" s="11"/>
      <c r="Q145" s="11"/>
      <c r="R145" s="11"/>
      <c r="S145" s="11"/>
      <c r="T145" s="11"/>
      <c r="U145" s="11"/>
      <c r="V145" s="11"/>
      <c r="W145" s="11"/>
      <c r="X145" s="11"/>
      <c r="Y145" s="11"/>
      <c r="Z145" s="11"/>
    </row>
    <row r="146" spans="1:26" ht="22.5" customHeight="1">
      <c r="A146" s="11"/>
      <c r="B146" s="11"/>
      <c r="C146" s="11"/>
      <c r="D146" s="12" t="s">
        <v>709</v>
      </c>
      <c r="E146" s="11"/>
      <c r="F146" s="12" t="s">
        <v>710</v>
      </c>
      <c r="G146" s="11"/>
      <c r="H146" s="11"/>
      <c r="I146" s="11"/>
      <c r="J146" s="11"/>
      <c r="K146" s="11"/>
      <c r="L146" s="11"/>
      <c r="M146" s="11"/>
      <c r="N146" s="11"/>
      <c r="O146" s="11"/>
      <c r="P146" s="11"/>
      <c r="Q146" s="11"/>
      <c r="R146" s="11"/>
      <c r="S146" s="11"/>
      <c r="T146" s="11"/>
      <c r="U146" s="11"/>
      <c r="V146" s="11"/>
      <c r="W146" s="11"/>
      <c r="X146" s="11"/>
      <c r="Y146" s="11"/>
      <c r="Z146" s="11"/>
    </row>
    <row r="147" spans="1:26" ht="22.5" customHeight="1">
      <c r="A147" s="11"/>
      <c r="B147" s="11"/>
      <c r="C147" s="11"/>
      <c r="D147" s="12" t="s">
        <v>711</v>
      </c>
      <c r="E147" s="11"/>
      <c r="F147" s="12" t="s">
        <v>712</v>
      </c>
      <c r="G147" s="11"/>
      <c r="H147" s="11"/>
      <c r="I147" s="11"/>
      <c r="J147" s="11"/>
      <c r="K147" s="11"/>
      <c r="L147" s="11"/>
      <c r="M147" s="11"/>
      <c r="N147" s="11"/>
      <c r="O147" s="11"/>
      <c r="P147" s="11"/>
      <c r="Q147" s="11"/>
      <c r="R147" s="11"/>
      <c r="S147" s="11"/>
      <c r="T147" s="11"/>
      <c r="U147" s="11"/>
      <c r="V147" s="11"/>
      <c r="W147" s="11"/>
      <c r="X147" s="11"/>
      <c r="Y147" s="11"/>
      <c r="Z147" s="11"/>
    </row>
    <row r="148" spans="1:26" ht="22.5" customHeight="1">
      <c r="A148" s="11"/>
      <c r="B148" s="11"/>
      <c r="C148" s="11"/>
      <c r="D148" s="12" t="s">
        <v>713</v>
      </c>
      <c r="E148" s="11"/>
      <c r="F148" s="14" t="s">
        <v>714</v>
      </c>
      <c r="G148" s="11"/>
      <c r="H148" s="11"/>
      <c r="I148" s="11"/>
      <c r="J148" s="11"/>
      <c r="K148" s="11"/>
      <c r="L148" s="11"/>
      <c r="M148" s="11"/>
      <c r="N148" s="11"/>
      <c r="O148" s="11"/>
      <c r="P148" s="11"/>
      <c r="Q148" s="11"/>
      <c r="R148" s="11"/>
      <c r="S148" s="11"/>
      <c r="T148" s="11"/>
      <c r="U148" s="11"/>
      <c r="V148" s="11"/>
      <c r="W148" s="11"/>
      <c r="X148" s="11"/>
      <c r="Y148" s="11"/>
      <c r="Z148" s="11"/>
    </row>
    <row r="149" spans="1:26" ht="22.5" customHeight="1">
      <c r="A149" s="11"/>
      <c r="B149" s="11"/>
      <c r="C149" s="11"/>
      <c r="D149" s="12" t="s">
        <v>715</v>
      </c>
      <c r="E149" s="11"/>
      <c r="F149" s="12" t="s">
        <v>716</v>
      </c>
      <c r="G149" s="11"/>
      <c r="H149" s="11"/>
      <c r="I149" s="11"/>
      <c r="J149" s="11"/>
      <c r="K149" s="11"/>
      <c r="L149" s="11"/>
      <c r="M149" s="11"/>
      <c r="N149" s="11"/>
      <c r="O149" s="11"/>
      <c r="P149" s="11"/>
      <c r="Q149" s="11"/>
      <c r="R149" s="11"/>
      <c r="S149" s="11"/>
      <c r="T149" s="11"/>
      <c r="U149" s="11"/>
      <c r="V149" s="11"/>
      <c r="W149" s="11"/>
      <c r="X149" s="11"/>
      <c r="Y149" s="11"/>
      <c r="Z149" s="11"/>
    </row>
    <row r="150" spans="1:26" ht="22.5" customHeight="1">
      <c r="A150" s="11"/>
      <c r="B150" s="11"/>
      <c r="C150" s="11"/>
      <c r="D150" s="12" t="s">
        <v>717</v>
      </c>
      <c r="E150" s="11"/>
      <c r="F150" s="12" t="s">
        <v>718</v>
      </c>
      <c r="G150" s="11"/>
      <c r="H150" s="11"/>
      <c r="I150" s="11"/>
      <c r="J150" s="11"/>
      <c r="K150" s="11"/>
      <c r="L150" s="11"/>
      <c r="M150" s="11"/>
      <c r="N150" s="11"/>
      <c r="O150" s="11"/>
      <c r="P150" s="11"/>
      <c r="Q150" s="11"/>
      <c r="R150" s="11"/>
      <c r="S150" s="11"/>
      <c r="T150" s="11"/>
      <c r="U150" s="11"/>
      <c r="V150" s="11"/>
      <c r="W150" s="11"/>
      <c r="X150" s="11"/>
      <c r="Y150" s="11"/>
      <c r="Z150" s="11"/>
    </row>
    <row r="151" spans="1:26" ht="22.5" customHeight="1">
      <c r="A151" s="11"/>
      <c r="B151" s="11"/>
      <c r="C151" s="11"/>
      <c r="D151" s="12" t="s">
        <v>719</v>
      </c>
      <c r="E151" s="11"/>
      <c r="F151" s="12" t="s">
        <v>720</v>
      </c>
      <c r="G151" s="11"/>
      <c r="H151" s="11"/>
      <c r="I151" s="11"/>
      <c r="J151" s="11"/>
      <c r="K151" s="11"/>
      <c r="L151" s="11"/>
      <c r="M151" s="11"/>
      <c r="N151" s="11"/>
      <c r="O151" s="11"/>
      <c r="P151" s="11"/>
      <c r="Q151" s="11"/>
      <c r="R151" s="11"/>
      <c r="S151" s="11"/>
      <c r="T151" s="11"/>
      <c r="U151" s="11"/>
      <c r="V151" s="11"/>
      <c r="W151" s="11"/>
      <c r="X151" s="11"/>
      <c r="Y151" s="11"/>
      <c r="Z151" s="11"/>
    </row>
    <row r="152" spans="1:26" ht="22.5" customHeight="1">
      <c r="A152" s="11"/>
      <c r="B152" s="11"/>
      <c r="C152" s="11"/>
      <c r="D152" s="12" t="s">
        <v>542</v>
      </c>
      <c r="E152" s="11"/>
      <c r="F152" s="12" t="s">
        <v>721</v>
      </c>
      <c r="G152" s="11"/>
      <c r="H152" s="11"/>
      <c r="I152" s="11"/>
      <c r="J152" s="11"/>
      <c r="K152" s="11"/>
      <c r="L152" s="11"/>
      <c r="M152" s="11"/>
      <c r="N152" s="11"/>
      <c r="O152" s="11"/>
      <c r="P152" s="11"/>
      <c r="Q152" s="11"/>
      <c r="R152" s="11"/>
      <c r="S152" s="11"/>
      <c r="T152" s="11"/>
      <c r="U152" s="11"/>
      <c r="V152" s="11"/>
      <c r="W152" s="11"/>
      <c r="X152" s="11"/>
      <c r="Y152" s="11"/>
      <c r="Z152" s="11"/>
    </row>
    <row r="153" spans="1:26" ht="22.5" customHeight="1">
      <c r="A153" s="11"/>
      <c r="B153" s="11"/>
      <c r="C153" s="11"/>
      <c r="D153" s="12" t="s">
        <v>722</v>
      </c>
      <c r="E153" s="11"/>
      <c r="F153" s="12" t="s">
        <v>723</v>
      </c>
      <c r="G153" s="11"/>
      <c r="H153" s="11"/>
      <c r="I153" s="11"/>
      <c r="J153" s="11"/>
      <c r="K153" s="11"/>
      <c r="L153" s="11"/>
      <c r="M153" s="11"/>
      <c r="N153" s="11"/>
      <c r="O153" s="11"/>
      <c r="P153" s="11"/>
      <c r="Q153" s="11"/>
      <c r="R153" s="11"/>
      <c r="S153" s="11"/>
      <c r="T153" s="11"/>
      <c r="U153" s="11"/>
      <c r="V153" s="11"/>
      <c r="W153" s="11"/>
      <c r="X153" s="11"/>
      <c r="Y153" s="11"/>
      <c r="Z153" s="11"/>
    </row>
    <row r="154" spans="1:26" ht="22.5" customHeight="1">
      <c r="A154" s="11"/>
      <c r="B154" s="11"/>
      <c r="C154" s="11"/>
      <c r="D154" s="12" t="s">
        <v>724</v>
      </c>
      <c r="E154" s="11"/>
      <c r="F154" s="12" t="s">
        <v>725</v>
      </c>
      <c r="G154" s="11"/>
      <c r="H154" s="11"/>
      <c r="I154" s="11"/>
      <c r="J154" s="11"/>
      <c r="K154" s="11"/>
      <c r="L154" s="11"/>
      <c r="M154" s="11"/>
      <c r="N154" s="11"/>
      <c r="O154" s="11"/>
      <c r="P154" s="11"/>
      <c r="Q154" s="11"/>
      <c r="R154" s="11"/>
      <c r="S154" s="11"/>
      <c r="T154" s="11"/>
      <c r="U154" s="11"/>
      <c r="V154" s="11"/>
      <c r="W154" s="11"/>
      <c r="X154" s="11"/>
      <c r="Y154" s="11"/>
      <c r="Z154" s="11"/>
    </row>
    <row r="155" spans="1:26" ht="22.5" customHeight="1">
      <c r="A155" s="11"/>
      <c r="B155" s="11"/>
      <c r="C155" s="11"/>
      <c r="D155" s="12" t="s">
        <v>726</v>
      </c>
      <c r="E155" s="11"/>
      <c r="F155" s="12" t="s">
        <v>727</v>
      </c>
      <c r="G155" s="11"/>
      <c r="H155" s="11"/>
      <c r="I155" s="11"/>
      <c r="J155" s="11"/>
      <c r="K155" s="11"/>
      <c r="L155" s="11"/>
      <c r="M155" s="11"/>
      <c r="N155" s="11"/>
      <c r="O155" s="11"/>
      <c r="P155" s="11"/>
      <c r="Q155" s="11"/>
      <c r="R155" s="11"/>
      <c r="S155" s="11"/>
      <c r="T155" s="11"/>
      <c r="U155" s="11"/>
      <c r="V155" s="11"/>
      <c r="W155" s="11"/>
      <c r="X155" s="11"/>
      <c r="Y155" s="11"/>
      <c r="Z155" s="11"/>
    </row>
    <row r="156" spans="1:26" ht="22.5" customHeight="1">
      <c r="A156" s="11"/>
      <c r="B156" s="11"/>
      <c r="C156" s="11"/>
      <c r="D156" s="12" t="s">
        <v>728</v>
      </c>
      <c r="E156" s="11"/>
      <c r="F156" s="12" t="s">
        <v>729</v>
      </c>
      <c r="G156" s="11"/>
      <c r="H156" s="11"/>
      <c r="I156" s="11"/>
      <c r="J156" s="11"/>
      <c r="K156" s="11"/>
      <c r="L156" s="11"/>
      <c r="M156" s="11"/>
      <c r="N156" s="11"/>
      <c r="O156" s="11"/>
      <c r="P156" s="11"/>
      <c r="Q156" s="11"/>
      <c r="R156" s="11"/>
      <c r="S156" s="11"/>
      <c r="T156" s="11"/>
      <c r="U156" s="11"/>
      <c r="V156" s="11"/>
      <c r="W156" s="11"/>
      <c r="X156" s="11"/>
      <c r="Y156" s="11"/>
      <c r="Z156" s="11"/>
    </row>
    <row r="157" spans="1:26" ht="22.5" customHeight="1">
      <c r="A157" s="11"/>
      <c r="B157" s="11"/>
      <c r="C157" s="11"/>
      <c r="D157" s="12" t="s">
        <v>730</v>
      </c>
      <c r="E157" s="11"/>
      <c r="F157" s="12" t="s">
        <v>731</v>
      </c>
      <c r="G157" s="11"/>
      <c r="H157" s="11"/>
      <c r="I157" s="11"/>
      <c r="J157" s="11"/>
      <c r="K157" s="11"/>
      <c r="L157" s="11"/>
      <c r="M157" s="11"/>
      <c r="N157" s="11"/>
      <c r="O157" s="11"/>
      <c r="P157" s="11"/>
      <c r="Q157" s="11"/>
      <c r="R157" s="11"/>
      <c r="S157" s="11"/>
      <c r="T157" s="11"/>
      <c r="U157" s="11"/>
      <c r="V157" s="11"/>
      <c r="W157" s="11"/>
      <c r="X157" s="11"/>
      <c r="Y157" s="11"/>
      <c r="Z157" s="11"/>
    </row>
    <row r="158" spans="1:26" ht="22.5" customHeight="1">
      <c r="A158" s="11"/>
      <c r="B158" s="11"/>
      <c r="C158" s="11"/>
      <c r="D158" s="12" t="s">
        <v>732</v>
      </c>
      <c r="E158" s="11"/>
      <c r="F158" s="12" t="s">
        <v>733</v>
      </c>
      <c r="G158" s="11"/>
      <c r="H158" s="11"/>
      <c r="I158" s="11"/>
      <c r="J158" s="11"/>
      <c r="K158" s="11"/>
      <c r="L158" s="11"/>
      <c r="M158" s="11"/>
      <c r="N158" s="11"/>
      <c r="O158" s="11"/>
      <c r="P158" s="11"/>
      <c r="Q158" s="11"/>
      <c r="R158" s="11"/>
      <c r="S158" s="11"/>
      <c r="T158" s="11"/>
      <c r="U158" s="11"/>
      <c r="V158" s="11"/>
      <c r="W158" s="11"/>
      <c r="X158" s="11"/>
      <c r="Y158" s="11"/>
      <c r="Z158" s="11"/>
    </row>
    <row r="159" spans="1:26" ht="22.5" customHeight="1">
      <c r="A159" s="11"/>
      <c r="B159" s="11"/>
      <c r="C159" s="11"/>
      <c r="D159" s="12" t="s">
        <v>734</v>
      </c>
      <c r="E159" s="11"/>
      <c r="F159" s="12" t="s">
        <v>735</v>
      </c>
      <c r="G159" s="11"/>
      <c r="H159" s="11"/>
      <c r="I159" s="11"/>
      <c r="J159" s="11"/>
      <c r="K159" s="11"/>
      <c r="L159" s="11"/>
      <c r="M159" s="11"/>
      <c r="N159" s="11"/>
      <c r="O159" s="11"/>
      <c r="P159" s="11"/>
      <c r="Q159" s="11"/>
      <c r="R159" s="11"/>
      <c r="S159" s="11"/>
      <c r="T159" s="11"/>
      <c r="U159" s="11"/>
      <c r="V159" s="11"/>
      <c r="W159" s="11"/>
      <c r="X159" s="11"/>
      <c r="Y159" s="11"/>
      <c r="Z159" s="11"/>
    </row>
    <row r="160" spans="1:26" ht="22.5" customHeight="1">
      <c r="A160" s="11"/>
      <c r="B160" s="11"/>
      <c r="C160" s="11"/>
      <c r="D160" s="12" t="s">
        <v>736</v>
      </c>
      <c r="E160" s="11"/>
      <c r="F160" s="12" t="s">
        <v>737</v>
      </c>
      <c r="G160" s="11"/>
      <c r="H160" s="11"/>
      <c r="I160" s="11"/>
      <c r="J160" s="11"/>
      <c r="K160" s="11"/>
      <c r="L160" s="11"/>
      <c r="M160" s="11"/>
      <c r="N160" s="11"/>
      <c r="O160" s="11"/>
      <c r="P160" s="11"/>
      <c r="Q160" s="11"/>
      <c r="R160" s="11"/>
      <c r="S160" s="11"/>
      <c r="T160" s="11"/>
      <c r="U160" s="11"/>
      <c r="V160" s="11"/>
      <c r="W160" s="11"/>
      <c r="X160" s="11"/>
      <c r="Y160" s="11"/>
      <c r="Z160" s="11"/>
    </row>
    <row r="161" spans="1:26" ht="22.5" customHeight="1">
      <c r="A161" s="11"/>
      <c r="B161" s="11"/>
      <c r="C161" s="11"/>
      <c r="D161" s="12" t="s">
        <v>738</v>
      </c>
      <c r="E161" s="11"/>
      <c r="F161" s="12" t="s">
        <v>739</v>
      </c>
      <c r="G161" s="11"/>
      <c r="H161" s="11"/>
      <c r="I161" s="11"/>
      <c r="J161" s="11"/>
      <c r="K161" s="11"/>
      <c r="L161" s="11"/>
      <c r="M161" s="11"/>
      <c r="N161" s="11"/>
      <c r="O161" s="11"/>
      <c r="P161" s="11"/>
      <c r="Q161" s="11"/>
      <c r="R161" s="11"/>
      <c r="S161" s="11"/>
      <c r="T161" s="11"/>
      <c r="U161" s="11"/>
      <c r="V161" s="11"/>
      <c r="W161" s="11"/>
      <c r="X161" s="11"/>
      <c r="Y161" s="11"/>
      <c r="Z161" s="11"/>
    </row>
    <row r="162" spans="1:26" ht="22.5" customHeight="1">
      <c r="A162" s="11"/>
      <c r="B162" s="11"/>
      <c r="C162" s="11"/>
      <c r="D162" s="12" t="s">
        <v>545</v>
      </c>
      <c r="E162" s="11"/>
      <c r="F162" s="12" t="s">
        <v>740</v>
      </c>
      <c r="G162" s="11"/>
      <c r="H162" s="11"/>
      <c r="I162" s="11"/>
      <c r="J162" s="11"/>
      <c r="K162" s="11"/>
      <c r="L162" s="11"/>
      <c r="M162" s="11"/>
      <c r="N162" s="11"/>
      <c r="O162" s="11"/>
      <c r="P162" s="11"/>
      <c r="Q162" s="11"/>
      <c r="R162" s="11"/>
      <c r="S162" s="11"/>
      <c r="T162" s="11"/>
      <c r="U162" s="11"/>
      <c r="V162" s="11"/>
      <c r="W162" s="11"/>
      <c r="X162" s="11"/>
      <c r="Y162" s="11"/>
      <c r="Z162" s="11"/>
    </row>
    <row r="163" spans="1:26" ht="22.5" customHeight="1">
      <c r="A163" s="11"/>
      <c r="B163" s="11"/>
      <c r="C163" s="11"/>
      <c r="D163" s="12" t="s">
        <v>243</v>
      </c>
      <c r="E163" s="11"/>
      <c r="F163" s="12" t="s">
        <v>741</v>
      </c>
      <c r="G163" s="11"/>
      <c r="H163" s="11"/>
      <c r="I163" s="11"/>
      <c r="J163" s="11"/>
      <c r="K163" s="11"/>
      <c r="L163" s="11"/>
      <c r="M163" s="11"/>
      <c r="N163" s="11"/>
      <c r="O163" s="11"/>
      <c r="P163" s="11"/>
      <c r="Q163" s="11"/>
      <c r="R163" s="11"/>
      <c r="S163" s="11"/>
      <c r="T163" s="11"/>
      <c r="U163" s="11"/>
      <c r="V163" s="11"/>
      <c r="W163" s="11"/>
      <c r="X163" s="11"/>
      <c r="Y163" s="11"/>
      <c r="Z163" s="11"/>
    </row>
    <row r="164" spans="1:26" ht="22.5" customHeight="1">
      <c r="A164" s="11"/>
      <c r="B164" s="11"/>
      <c r="C164" s="11"/>
      <c r="D164" s="12" t="s">
        <v>742</v>
      </c>
      <c r="E164" s="11"/>
      <c r="F164" s="12" t="s">
        <v>743</v>
      </c>
      <c r="G164" s="11"/>
      <c r="H164" s="11"/>
      <c r="I164" s="11"/>
      <c r="J164" s="11"/>
      <c r="K164" s="11"/>
      <c r="L164" s="11"/>
      <c r="M164" s="11"/>
      <c r="N164" s="11"/>
      <c r="O164" s="11"/>
      <c r="P164" s="11"/>
      <c r="Q164" s="11"/>
      <c r="R164" s="11"/>
      <c r="S164" s="11"/>
      <c r="T164" s="11"/>
      <c r="U164" s="11"/>
      <c r="V164" s="11"/>
      <c r="W164" s="11"/>
      <c r="X164" s="11"/>
      <c r="Y164" s="11"/>
      <c r="Z164" s="11"/>
    </row>
    <row r="165" spans="1:26" ht="22.5" customHeight="1">
      <c r="A165" s="11"/>
      <c r="B165" s="11"/>
      <c r="C165" s="11"/>
      <c r="D165" s="12" t="s">
        <v>744</v>
      </c>
      <c r="E165" s="11"/>
      <c r="F165" s="12" t="s">
        <v>745</v>
      </c>
      <c r="G165" s="11"/>
      <c r="H165" s="11"/>
      <c r="I165" s="11"/>
      <c r="J165" s="11"/>
      <c r="K165" s="11"/>
      <c r="L165" s="11"/>
      <c r="M165" s="11"/>
      <c r="N165" s="11"/>
      <c r="O165" s="11"/>
      <c r="P165" s="11"/>
      <c r="Q165" s="11"/>
      <c r="R165" s="11"/>
      <c r="S165" s="11"/>
      <c r="T165" s="11"/>
      <c r="U165" s="11"/>
      <c r="V165" s="11"/>
      <c r="W165" s="11"/>
      <c r="X165" s="11"/>
      <c r="Y165" s="11"/>
      <c r="Z165" s="11"/>
    </row>
    <row r="166" spans="1:26" ht="22.5" customHeight="1">
      <c r="A166" s="11"/>
      <c r="B166" s="11"/>
      <c r="C166" s="11"/>
      <c r="D166" s="12" t="s">
        <v>746</v>
      </c>
      <c r="E166" s="11"/>
      <c r="F166" s="12" t="s">
        <v>747</v>
      </c>
      <c r="G166" s="11"/>
      <c r="H166" s="11"/>
      <c r="I166" s="11"/>
      <c r="J166" s="11"/>
      <c r="K166" s="11"/>
      <c r="L166" s="11"/>
      <c r="M166" s="11"/>
      <c r="N166" s="11"/>
      <c r="O166" s="11"/>
      <c r="P166" s="11"/>
      <c r="Q166" s="11"/>
      <c r="R166" s="11"/>
      <c r="S166" s="11"/>
      <c r="T166" s="11"/>
      <c r="U166" s="11"/>
      <c r="V166" s="11"/>
      <c r="W166" s="11"/>
      <c r="X166" s="11"/>
      <c r="Y166" s="11"/>
      <c r="Z166" s="11"/>
    </row>
    <row r="167" spans="1:26" ht="22.5" customHeight="1">
      <c r="A167" s="11"/>
      <c r="B167" s="11"/>
      <c r="C167" s="11"/>
      <c r="D167" s="12" t="s">
        <v>549</v>
      </c>
      <c r="E167" s="11"/>
      <c r="F167" s="12" t="s">
        <v>748</v>
      </c>
      <c r="G167" s="11"/>
      <c r="H167" s="11"/>
      <c r="I167" s="11"/>
      <c r="J167" s="11"/>
      <c r="K167" s="11"/>
      <c r="L167" s="11"/>
      <c r="M167" s="11"/>
      <c r="N167" s="11"/>
      <c r="O167" s="11"/>
      <c r="P167" s="11"/>
      <c r="Q167" s="11"/>
      <c r="R167" s="11"/>
      <c r="S167" s="11"/>
      <c r="T167" s="11"/>
      <c r="U167" s="11"/>
      <c r="V167" s="11"/>
      <c r="W167" s="11"/>
      <c r="X167" s="11"/>
      <c r="Y167" s="11"/>
      <c r="Z167" s="11"/>
    </row>
    <row r="168" spans="1:26" ht="22.5" customHeight="1">
      <c r="A168" s="11"/>
      <c r="B168" s="11"/>
      <c r="C168" s="11"/>
      <c r="D168" s="12" t="s">
        <v>555</v>
      </c>
      <c r="E168" s="11"/>
      <c r="F168" s="12" t="s">
        <v>749</v>
      </c>
      <c r="G168" s="11"/>
      <c r="H168" s="11"/>
      <c r="I168" s="11"/>
      <c r="J168" s="11"/>
      <c r="K168" s="11"/>
      <c r="L168" s="11"/>
      <c r="M168" s="11"/>
      <c r="N168" s="11"/>
      <c r="O168" s="11"/>
      <c r="P168" s="11"/>
      <c r="Q168" s="11"/>
      <c r="R168" s="11"/>
      <c r="S168" s="11"/>
      <c r="T168" s="11"/>
      <c r="U168" s="11"/>
      <c r="V168" s="11"/>
      <c r="W168" s="11"/>
      <c r="X168" s="11"/>
      <c r="Y168" s="11"/>
      <c r="Z168" s="11"/>
    </row>
    <row r="169" spans="1:26" ht="22.5" customHeight="1">
      <c r="A169" s="11"/>
      <c r="B169" s="11"/>
      <c r="C169" s="11"/>
      <c r="D169" s="12" t="s">
        <v>750</v>
      </c>
      <c r="E169" s="11"/>
      <c r="F169" s="12" t="s">
        <v>751</v>
      </c>
      <c r="G169" s="11"/>
      <c r="H169" s="11"/>
      <c r="I169" s="11"/>
      <c r="J169" s="11"/>
      <c r="K169" s="11"/>
      <c r="L169" s="11"/>
      <c r="M169" s="11"/>
      <c r="N169" s="11"/>
      <c r="O169" s="11"/>
      <c r="P169" s="11"/>
      <c r="Q169" s="11"/>
      <c r="R169" s="11"/>
      <c r="S169" s="11"/>
      <c r="T169" s="11"/>
      <c r="U169" s="11"/>
      <c r="V169" s="11"/>
      <c r="W169" s="11"/>
      <c r="X169" s="11"/>
      <c r="Y169" s="11"/>
      <c r="Z169" s="11"/>
    </row>
    <row r="170" spans="1:26" ht="22.5" customHeight="1">
      <c r="A170" s="11"/>
      <c r="B170" s="11"/>
      <c r="C170" s="11"/>
      <c r="D170" s="12" t="s">
        <v>752</v>
      </c>
      <c r="E170" s="11"/>
      <c r="F170" s="12" t="s">
        <v>753</v>
      </c>
      <c r="G170" s="11"/>
      <c r="H170" s="11"/>
      <c r="I170" s="11"/>
      <c r="J170" s="11"/>
      <c r="K170" s="11"/>
      <c r="L170" s="11"/>
      <c r="M170" s="11"/>
      <c r="N170" s="11"/>
      <c r="O170" s="11"/>
      <c r="P170" s="11"/>
      <c r="Q170" s="11"/>
      <c r="R170" s="11"/>
      <c r="S170" s="11"/>
      <c r="T170" s="11"/>
      <c r="U170" s="11"/>
      <c r="V170" s="11"/>
      <c r="W170" s="11"/>
      <c r="X170" s="11"/>
      <c r="Y170" s="11"/>
      <c r="Z170" s="11"/>
    </row>
    <row r="171" spans="1:26" ht="22.5" customHeight="1">
      <c r="A171" s="11"/>
      <c r="B171" s="11"/>
      <c r="C171" s="11"/>
      <c r="D171" s="12" t="s">
        <v>754</v>
      </c>
      <c r="E171" s="11"/>
      <c r="F171" s="12" t="s">
        <v>755</v>
      </c>
      <c r="G171" s="11"/>
      <c r="H171" s="11"/>
      <c r="I171" s="11"/>
      <c r="J171" s="11"/>
      <c r="K171" s="11"/>
      <c r="L171" s="11"/>
      <c r="M171" s="11"/>
      <c r="N171" s="11"/>
      <c r="O171" s="11"/>
      <c r="P171" s="11"/>
      <c r="Q171" s="11"/>
      <c r="R171" s="11"/>
      <c r="S171" s="11"/>
      <c r="T171" s="11"/>
      <c r="U171" s="11"/>
      <c r="V171" s="11"/>
      <c r="W171" s="11"/>
      <c r="X171" s="11"/>
      <c r="Y171" s="11"/>
      <c r="Z171" s="11"/>
    </row>
    <row r="172" spans="1:26" ht="22.5" customHeight="1">
      <c r="A172" s="11"/>
      <c r="B172" s="11"/>
      <c r="C172" s="11"/>
      <c r="D172" s="12" t="s">
        <v>756</v>
      </c>
      <c r="E172" s="11"/>
      <c r="F172" s="12" t="s">
        <v>757</v>
      </c>
      <c r="G172" s="11"/>
      <c r="H172" s="11"/>
      <c r="I172" s="11"/>
      <c r="J172" s="11"/>
      <c r="K172" s="11"/>
      <c r="L172" s="11"/>
      <c r="M172" s="11"/>
      <c r="N172" s="11"/>
      <c r="O172" s="11"/>
      <c r="P172" s="11"/>
      <c r="Q172" s="11"/>
      <c r="R172" s="11"/>
      <c r="S172" s="11"/>
      <c r="T172" s="11"/>
      <c r="U172" s="11"/>
      <c r="V172" s="11"/>
      <c r="W172" s="11"/>
      <c r="X172" s="11"/>
      <c r="Y172" s="11"/>
      <c r="Z172" s="11"/>
    </row>
    <row r="173" spans="1:26" ht="22.5" customHeight="1">
      <c r="A173" s="11"/>
      <c r="B173" s="11"/>
      <c r="C173" s="11"/>
      <c r="D173" s="12" t="s">
        <v>758</v>
      </c>
      <c r="E173" s="11"/>
      <c r="F173" s="12" t="s">
        <v>759</v>
      </c>
      <c r="G173" s="11"/>
      <c r="H173" s="11"/>
      <c r="I173" s="11"/>
      <c r="J173" s="11"/>
      <c r="K173" s="11"/>
      <c r="L173" s="11"/>
      <c r="M173" s="11"/>
      <c r="N173" s="11"/>
      <c r="O173" s="11"/>
      <c r="P173" s="11"/>
      <c r="Q173" s="11"/>
      <c r="R173" s="11"/>
      <c r="S173" s="11"/>
      <c r="T173" s="11"/>
      <c r="U173" s="11"/>
      <c r="V173" s="11"/>
      <c r="W173" s="11"/>
      <c r="X173" s="11"/>
      <c r="Y173" s="11"/>
      <c r="Z173" s="11"/>
    </row>
    <row r="174" spans="1:26" ht="22.5" customHeight="1">
      <c r="A174" s="11"/>
      <c r="B174" s="11"/>
      <c r="C174" s="11"/>
      <c r="D174" s="12" t="s">
        <v>760</v>
      </c>
      <c r="E174" s="11"/>
      <c r="F174" s="12" t="s">
        <v>761</v>
      </c>
      <c r="G174" s="11"/>
      <c r="H174" s="11"/>
      <c r="I174" s="11"/>
      <c r="J174" s="11"/>
      <c r="K174" s="11"/>
      <c r="L174" s="11"/>
      <c r="M174" s="11"/>
      <c r="N174" s="11"/>
      <c r="O174" s="11"/>
      <c r="P174" s="11"/>
      <c r="Q174" s="11"/>
      <c r="R174" s="11"/>
      <c r="S174" s="11"/>
      <c r="T174" s="11"/>
      <c r="U174" s="11"/>
      <c r="V174" s="11"/>
      <c r="W174" s="11"/>
      <c r="X174" s="11"/>
      <c r="Y174" s="11"/>
      <c r="Z174" s="11"/>
    </row>
    <row r="175" spans="1:26" ht="22.5" customHeight="1">
      <c r="A175" s="11"/>
      <c r="B175" s="11"/>
      <c r="C175" s="11"/>
      <c r="D175" s="12" t="s">
        <v>762</v>
      </c>
      <c r="E175" s="11"/>
      <c r="F175" s="12" t="s">
        <v>763</v>
      </c>
      <c r="G175" s="11"/>
      <c r="H175" s="11"/>
      <c r="I175" s="11"/>
      <c r="J175" s="11"/>
      <c r="K175" s="11"/>
      <c r="L175" s="11"/>
      <c r="M175" s="11"/>
      <c r="N175" s="11"/>
      <c r="O175" s="11"/>
      <c r="P175" s="11"/>
      <c r="Q175" s="11"/>
      <c r="R175" s="11"/>
      <c r="S175" s="11"/>
      <c r="T175" s="11"/>
      <c r="U175" s="11"/>
      <c r="V175" s="11"/>
      <c r="W175" s="11"/>
      <c r="X175" s="11"/>
      <c r="Y175" s="11"/>
      <c r="Z175" s="11"/>
    </row>
    <row r="176" spans="1:26" ht="22.5" customHeight="1">
      <c r="A176" s="11"/>
      <c r="B176" s="11"/>
      <c r="C176" s="11"/>
      <c r="D176" s="12" t="s">
        <v>764</v>
      </c>
      <c r="E176" s="11"/>
      <c r="F176" s="12" t="s">
        <v>765</v>
      </c>
      <c r="G176" s="11"/>
      <c r="H176" s="11"/>
      <c r="I176" s="11"/>
      <c r="J176" s="11"/>
      <c r="K176" s="11"/>
      <c r="L176" s="11"/>
      <c r="M176" s="11"/>
      <c r="N176" s="11"/>
      <c r="O176" s="11"/>
      <c r="P176" s="11"/>
      <c r="Q176" s="11"/>
      <c r="R176" s="11"/>
      <c r="S176" s="11"/>
      <c r="T176" s="11"/>
      <c r="U176" s="11"/>
      <c r="V176" s="11"/>
      <c r="W176" s="11"/>
      <c r="X176" s="11"/>
      <c r="Y176" s="11"/>
      <c r="Z176" s="11"/>
    </row>
    <row r="177" spans="1:26" ht="22.5" customHeight="1">
      <c r="A177" s="11"/>
      <c r="B177" s="11"/>
      <c r="C177" s="11"/>
      <c r="D177" s="12" t="s">
        <v>565</v>
      </c>
      <c r="E177" s="11"/>
      <c r="F177" s="12" t="s">
        <v>766</v>
      </c>
      <c r="G177" s="11"/>
      <c r="H177" s="11"/>
      <c r="I177" s="11"/>
      <c r="J177" s="11"/>
      <c r="K177" s="11"/>
      <c r="L177" s="11"/>
      <c r="M177" s="11"/>
      <c r="N177" s="11"/>
      <c r="O177" s="11"/>
      <c r="P177" s="11"/>
      <c r="Q177" s="11"/>
      <c r="R177" s="11"/>
      <c r="S177" s="11"/>
      <c r="T177" s="11"/>
      <c r="U177" s="11"/>
      <c r="V177" s="11"/>
      <c r="W177" s="11"/>
      <c r="X177" s="11"/>
      <c r="Y177" s="11"/>
      <c r="Z177" s="11"/>
    </row>
    <row r="178" spans="1:26" ht="22.5" customHeight="1">
      <c r="A178" s="11"/>
      <c r="B178" s="11"/>
      <c r="C178" s="11"/>
      <c r="D178" s="12" t="s">
        <v>767</v>
      </c>
      <c r="E178" s="11"/>
      <c r="F178" s="12" t="s">
        <v>768</v>
      </c>
      <c r="G178" s="11"/>
      <c r="H178" s="11"/>
      <c r="I178" s="11"/>
      <c r="J178" s="11"/>
      <c r="K178" s="11"/>
      <c r="L178" s="11"/>
      <c r="M178" s="11"/>
      <c r="N178" s="11"/>
      <c r="O178" s="11"/>
      <c r="P178" s="11"/>
      <c r="Q178" s="11"/>
      <c r="R178" s="11"/>
      <c r="S178" s="11"/>
      <c r="T178" s="11"/>
      <c r="U178" s="11"/>
      <c r="V178" s="11"/>
      <c r="W178" s="11"/>
      <c r="X178" s="11"/>
      <c r="Y178" s="11"/>
      <c r="Z178" s="11"/>
    </row>
    <row r="179" spans="1:26" ht="22.5" customHeight="1">
      <c r="A179" s="11"/>
      <c r="B179" s="11"/>
      <c r="C179" s="11"/>
      <c r="D179" s="12" t="s">
        <v>769</v>
      </c>
      <c r="E179" s="11"/>
      <c r="F179" s="12" t="s">
        <v>770</v>
      </c>
      <c r="G179" s="11"/>
      <c r="H179" s="11"/>
      <c r="I179" s="11"/>
      <c r="J179" s="11"/>
      <c r="K179" s="11"/>
      <c r="L179" s="11"/>
      <c r="M179" s="11"/>
      <c r="N179" s="11"/>
      <c r="O179" s="11"/>
      <c r="P179" s="11"/>
      <c r="Q179" s="11"/>
      <c r="R179" s="11"/>
      <c r="S179" s="11"/>
      <c r="T179" s="11"/>
      <c r="U179" s="11"/>
      <c r="V179" s="11"/>
      <c r="W179" s="11"/>
      <c r="X179" s="11"/>
      <c r="Y179" s="11"/>
      <c r="Z179" s="11"/>
    </row>
    <row r="180" spans="1:26" ht="22.5" customHeight="1">
      <c r="A180" s="11"/>
      <c r="B180" s="11"/>
      <c r="C180" s="11"/>
      <c r="D180" s="12" t="s">
        <v>771</v>
      </c>
      <c r="E180" s="11"/>
      <c r="F180" s="12" t="s">
        <v>772</v>
      </c>
      <c r="G180" s="11"/>
      <c r="H180" s="11"/>
      <c r="I180" s="11"/>
      <c r="J180" s="11"/>
      <c r="K180" s="11"/>
      <c r="L180" s="11"/>
      <c r="M180" s="11"/>
      <c r="N180" s="11"/>
      <c r="O180" s="11"/>
      <c r="P180" s="11"/>
      <c r="Q180" s="11"/>
      <c r="R180" s="11"/>
      <c r="S180" s="11"/>
      <c r="T180" s="11"/>
      <c r="U180" s="11"/>
      <c r="V180" s="11"/>
      <c r="W180" s="11"/>
      <c r="X180" s="11"/>
      <c r="Y180" s="11"/>
      <c r="Z180" s="11"/>
    </row>
    <row r="181" spans="1:26" ht="22.5" customHeight="1">
      <c r="A181" s="11"/>
      <c r="B181" s="11"/>
      <c r="C181" s="11"/>
      <c r="D181" s="12" t="s">
        <v>574</v>
      </c>
      <c r="E181" s="11"/>
      <c r="F181" s="12" t="s">
        <v>773</v>
      </c>
      <c r="G181" s="11"/>
      <c r="H181" s="11"/>
      <c r="I181" s="11"/>
      <c r="J181" s="11"/>
      <c r="K181" s="11"/>
      <c r="L181" s="11"/>
      <c r="M181" s="11"/>
      <c r="N181" s="11"/>
      <c r="O181" s="11"/>
      <c r="P181" s="11"/>
      <c r="Q181" s="11"/>
      <c r="R181" s="11"/>
      <c r="S181" s="11"/>
      <c r="T181" s="11"/>
      <c r="U181" s="11"/>
      <c r="V181" s="11"/>
      <c r="W181" s="11"/>
      <c r="X181" s="11"/>
      <c r="Y181" s="11"/>
      <c r="Z181" s="11"/>
    </row>
    <row r="182" spans="1:26" ht="22.5" customHeight="1">
      <c r="A182" s="11"/>
      <c r="B182" s="11"/>
      <c r="C182" s="11"/>
      <c r="D182" s="12" t="s">
        <v>774</v>
      </c>
      <c r="E182" s="11"/>
      <c r="F182" s="12" t="s">
        <v>775</v>
      </c>
      <c r="G182" s="11"/>
      <c r="H182" s="11"/>
      <c r="I182" s="11"/>
      <c r="J182" s="11"/>
      <c r="K182" s="11"/>
      <c r="L182" s="11"/>
      <c r="M182" s="11"/>
      <c r="N182" s="11"/>
      <c r="O182" s="11"/>
      <c r="P182" s="11"/>
      <c r="Q182" s="11"/>
      <c r="R182" s="11"/>
      <c r="S182" s="11"/>
      <c r="T182" s="11"/>
      <c r="U182" s="11"/>
      <c r="V182" s="11"/>
      <c r="W182" s="11"/>
      <c r="X182" s="11"/>
      <c r="Y182" s="11"/>
      <c r="Z182" s="11"/>
    </row>
    <row r="183" spans="1:26" ht="22.5" customHeight="1">
      <c r="A183" s="11"/>
      <c r="B183" s="11"/>
      <c r="C183" s="11"/>
      <c r="D183" s="12" t="s">
        <v>776</v>
      </c>
      <c r="E183" s="11"/>
      <c r="F183" s="12" t="s">
        <v>777</v>
      </c>
      <c r="G183" s="11"/>
      <c r="H183" s="11"/>
      <c r="I183" s="11"/>
      <c r="J183" s="11"/>
      <c r="K183" s="11"/>
      <c r="L183" s="11"/>
      <c r="M183" s="11"/>
      <c r="N183" s="11"/>
      <c r="O183" s="11"/>
      <c r="P183" s="11"/>
      <c r="Q183" s="11"/>
      <c r="R183" s="11"/>
      <c r="S183" s="11"/>
      <c r="T183" s="11"/>
      <c r="U183" s="11"/>
      <c r="V183" s="11"/>
      <c r="W183" s="11"/>
      <c r="X183" s="11"/>
      <c r="Y183" s="11"/>
      <c r="Z183" s="11"/>
    </row>
    <row r="184" spans="1:26" ht="22.5" customHeight="1">
      <c r="A184" s="11"/>
      <c r="B184" s="11"/>
      <c r="C184" s="11"/>
      <c r="D184" s="12" t="s">
        <v>580</v>
      </c>
      <c r="E184" s="11"/>
      <c r="F184" s="12" t="s">
        <v>778</v>
      </c>
      <c r="G184" s="11"/>
      <c r="H184" s="11"/>
      <c r="I184" s="11"/>
      <c r="J184" s="11"/>
      <c r="K184" s="11"/>
      <c r="L184" s="11"/>
      <c r="M184" s="11"/>
      <c r="N184" s="11"/>
      <c r="O184" s="11"/>
      <c r="P184" s="11"/>
      <c r="Q184" s="11"/>
      <c r="R184" s="11"/>
      <c r="S184" s="11"/>
      <c r="T184" s="11"/>
      <c r="U184" s="11"/>
      <c r="V184" s="11"/>
      <c r="W184" s="11"/>
      <c r="X184" s="11"/>
      <c r="Y184" s="11"/>
      <c r="Z184" s="11"/>
    </row>
    <row r="185" spans="1:26" ht="22.5" customHeight="1">
      <c r="A185" s="11"/>
      <c r="B185" s="11"/>
      <c r="C185" s="11"/>
      <c r="D185" s="12" t="s">
        <v>779</v>
      </c>
      <c r="E185" s="11"/>
      <c r="F185" s="12" t="s">
        <v>780</v>
      </c>
      <c r="G185" s="11"/>
      <c r="H185" s="11"/>
      <c r="I185" s="11"/>
      <c r="J185" s="11"/>
      <c r="K185" s="11"/>
      <c r="L185" s="11"/>
      <c r="M185" s="11"/>
      <c r="N185" s="11"/>
      <c r="O185" s="11"/>
      <c r="P185" s="11"/>
      <c r="Q185" s="11"/>
      <c r="R185" s="11"/>
      <c r="S185" s="11"/>
      <c r="T185" s="11"/>
      <c r="U185" s="11"/>
      <c r="V185" s="11"/>
      <c r="W185" s="11"/>
      <c r="X185" s="11"/>
      <c r="Y185" s="11"/>
      <c r="Z185" s="11"/>
    </row>
    <row r="186" spans="1:26" ht="22.5" customHeight="1">
      <c r="A186" s="11"/>
      <c r="B186" s="11"/>
      <c r="C186" s="11"/>
      <c r="D186" s="12" t="s">
        <v>781</v>
      </c>
      <c r="E186" s="11"/>
      <c r="F186" s="12" t="s">
        <v>782</v>
      </c>
      <c r="G186" s="11"/>
      <c r="H186" s="11"/>
      <c r="I186" s="11"/>
      <c r="J186" s="11"/>
      <c r="K186" s="11"/>
      <c r="L186" s="11"/>
      <c r="M186" s="11"/>
      <c r="N186" s="11"/>
      <c r="O186" s="11"/>
      <c r="P186" s="11"/>
      <c r="Q186" s="11"/>
      <c r="R186" s="11"/>
      <c r="S186" s="11"/>
      <c r="T186" s="11"/>
      <c r="U186" s="11"/>
      <c r="V186" s="11"/>
      <c r="W186" s="11"/>
      <c r="X186" s="11"/>
      <c r="Y186" s="11"/>
      <c r="Z186" s="11"/>
    </row>
    <row r="187" spans="1:26" ht="22.5" customHeight="1">
      <c r="A187" s="11"/>
      <c r="B187" s="11"/>
      <c r="C187" s="11"/>
      <c r="D187" s="12" t="s">
        <v>783</v>
      </c>
      <c r="E187" s="11"/>
      <c r="F187" s="12" t="s">
        <v>784</v>
      </c>
      <c r="G187" s="11"/>
      <c r="H187" s="11"/>
      <c r="I187" s="11"/>
      <c r="J187" s="11"/>
      <c r="K187" s="11"/>
      <c r="L187" s="11"/>
      <c r="M187" s="11"/>
      <c r="N187" s="11"/>
      <c r="O187" s="11"/>
      <c r="P187" s="11"/>
      <c r="Q187" s="11"/>
      <c r="R187" s="11"/>
      <c r="S187" s="11"/>
      <c r="T187" s="11"/>
      <c r="U187" s="11"/>
      <c r="V187" s="11"/>
      <c r="W187" s="11"/>
      <c r="X187" s="11"/>
      <c r="Y187" s="11"/>
      <c r="Z187" s="11"/>
    </row>
    <row r="188" spans="1:26" ht="22.5" customHeight="1">
      <c r="A188" s="11"/>
      <c r="B188" s="11"/>
      <c r="C188" s="11"/>
      <c r="D188" s="12" t="s">
        <v>211</v>
      </c>
      <c r="E188" s="11"/>
      <c r="F188" s="12" t="s">
        <v>785</v>
      </c>
      <c r="G188" s="11"/>
      <c r="H188" s="11"/>
      <c r="I188" s="11"/>
      <c r="J188" s="11"/>
      <c r="K188" s="11"/>
      <c r="L188" s="11"/>
      <c r="M188" s="11"/>
      <c r="N188" s="11"/>
      <c r="O188" s="11"/>
      <c r="P188" s="11"/>
      <c r="Q188" s="11"/>
      <c r="R188" s="11"/>
      <c r="S188" s="11"/>
      <c r="T188" s="11"/>
      <c r="U188" s="11"/>
      <c r="V188" s="11"/>
      <c r="W188" s="11"/>
      <c r="X188" s="11"/>
      <c r="Y188" s="11"/>
      <c r="Z188" s="11"/>
    </row>
    <row r="189" spans="1:26" ht="22.5" customHeight="1">
      <c r="A189" s="11"/>
      <c r="B189" s="11"/>
      <c r="C189" s="11"/>
      <c r="D189" s="12" t="s">
        <v>786</v>
      </c>
      <c r="E189" s="11"/>
      <c r="F189" s="12" t="s">
        <v>266</v>
      </c>
      <c r="G189" s="11"/>
      <c r="H189" s="11"/>
      <c r="I189" s="11"/>
      <c r="J189" s="11"/>
      <c r="K189" s="11"/>
      <c r="L189" s="11"/>
      <c r="M189" s="11"/>
      <c r="N189" s="11"/>
      <c r="O189" s="11"/>
      <c r="P189" s="11"/>
      <c r="Q189" s="11"/>
      <c r="R189" s="11"/>
      <c r="S189" s="11"/>
      <c r="T189" s="11"/>
      <c r="U189" s="11"/>
      <c r="V189" s="11"/>
      <c r="W189" s="11"/>
      <c r="X189" s="11"/>
      <c r="Y189" s="11"/>
      <c r="Z189" s="11"/>
    </row>
    <row r="190" spans="1:26" ht="22.5" customHeight="1">
      <c r="A190" s="11"/>
      <c r="B190" s="11"/>
      <c r="C190" s="11"/>
      <c r="D190" s="12" t="s">
        <v>787</v>
      </c>
      <c r="E190" s="11"/>
      <c r="F190" s="12" t="s">
        <v>788</v>
      </c>
      <c r="G190" s="11"/>
      <c r="H190" s="11"/>
      <c r="I190" s="11"/>
      <c r="J190" s="11"/>
      <c r="K190" s="11"/>
      <c r="L190" s="11"/>
      <c r="M190" s="11"/>
      <c r="N190" s="11"/>
      <c r="O190" s="11"/>
      <c r="P190" s="11"/>
      <c r="Q190" s="11"/>
      <c r="R190" s="11"/>
      <c r="S190" s="11"/>
      <c r="T190" s="11"/>
      <c r="U190" s="11"/>
      <c r="V190" s="11"/>
      <c r="W190" s="11"/>
      <c r="X190" s="11"/>
      <c r="Y190" s="11"/>
      <c r="Z190" s="11"/>
    </row>
    <row r="191" spans="1:26" ht="22.5" customHeight="1">
      <c r="A191" s="11"/>
      <c r="B191" s="11"/>
      <c r="C191" s="11"/>
      <c r="D191" s="12" t="s">
        <v>789</v>
      </c>
      <c r="E191" s="11"/>
      <c r="F191" s="12" t="s">
        <v>790</v>
      </c>
      <c r="G191" s="11"/>
      <c r="H191" s="11"/>
      <c r="I191" s="11"/>
      <c r="J191" s="11"/>
      <c r="K191" s="11"/>
      <c r="L191" s="11"/>
      <c r="M191" s="11"/>
      <c r="N191" s="11"/>
      <c r="O191" s="11"/>
      <c r="P191" s="11"/>
      <c r="Q191" s="11"/>
      <c r="R191" s="11"/>
      <c r="S191" s="11"/>
      <c r="T191" s="11"/>
      <c r="U191" s="11"/>
      <c r="V191" s="11"/>
      <c r="W191" s="11"/>
      <c r="X191" s="11"/>
      <c r="Y191" s="11"/>
      <c r="Z191" s="11"/>
    </row>
    <row r="192" spans="1:26" ht="22.5" customHeight="1">
      <c r="A192" s="11"/>
      <c r="B192" s="11"/>
      <c r="C192" s="11"/>
      <c r="D192" s="12" t="s">
        <v>791</v>
      </c>
      <c r="E192" s="11"/>
      <c r="F192" s="12" t="s">
        <v>792</v>
      </c>
      <c r="G192" s="11"/>
      <c r="H192" s="11"/>
      <c r="I192" s="11"/>
      <c r="J192" s="11"/>
      <c r="K192" s="11"/>
      <c r="L192" s="11"/>
      <c r="M192" s="11"/>
      <c r="N192" s="11"/>
      <c r="O192" s="11"/>
      <c r="P192" s="11"/>
      <c r="Q192" s="11"/>
      <c r="R192" s="11"/>
      <c r="S192" s="11"/>
      <c r="T192" s="11"/>
      <c r="U192" s="11"/>
      <c r="V192" s="11"/>
      <c r="W192" s="11"/>
      <c r="X192" s="11"/>
      <c r="Y192" s="11"/>
      <c r="Z192" s="11"/>
    </row>
    <row r="193" spans="1:26" ht="22.5" customHeight="1">
      <c r="A193" s="11"/>
      <c r="B193" s="11"/>
      <c r="C193" s="11"/>
      <c r="D193" s="12" t="s">
        <v>793</v>
      </c>
      <c r="E193" s="11"/>
      <c r="F193" s="12" t="s">
        <v>794</v>
      </c>
      <c r="G193" s="11"/>
      <c r="H193" s="11"/>
      <c r="I193" s="11"/>
      <c r="J193" s="11"/>
      <c r="K193" s="11"/>
      <c r="L193" s="11"/>
      <c r="M193" s="11"/>
      <c r="N193" s="11"/>
      <c r="O193" s="11"/>
      <c r="P193" s="11"/>
      <c r="Q193" s="11"/>
      <c r="R193" s="11"/>
      <c r="S193" s="11"/>
      <c r="T193" s="11"/>
      <c r="U193" s="11"/>
      <c r="V193" s="11"/>
      <c r="W193" s="11"/>
      <c r="X193" s="11"/>
      <c r="Y193" s="11"/>
      <c r="Z193" s="11"/>
    </row>
    <row r="194" spans="1:26" ht="22.5" customHeight="1">
      <c r="A194" s="11"/>
      <c r="B194" s="11"/>
      <c r="C194" s="11"/>
      <c r="D194" s="12" t="s">
        <v>795</v>
      </c>
      <c r="E194" s="11"/>
      <c r="F194" s="12" t="s">
        <v>796</v>
      </c>
      <c r="G194" s="11"/>
      <c r="H194" s="11"/>
      <c r="I194" s="11"/>
      <c r="J194" s="11"/>
      <c r="K194" s="11"/>
      <c r="L194" s="11"/>
      <c r="M194" s="11"/>
      <c r="N194" s="11"/>
      <c r="O194" s="11"/>
      <c r="P194" s="11"/>
      <c r="Q194" s="11"/>
      <c r="R194" s="11"/>
      <c r="S194" s="11"/>
      <c r="T194" s="11"/>
      <c r="U194" s="11"/>
      <c r="V194" s="11"/>
      <c r="W194" s="11"/>
      <c r="X194" s="11"/>
      <c r="Y194" s="11"/>
      <c r="Z194" s="11"/>
    </row>
    <row r="195" spans="1:26" ht="22.5" customHeight="1">
      <c r="A195" s="11"/>
      <c r="B195" s="11"/>
      <c r="C195" s="11"/>
      <c r="D195" s="12" t="s">
        <v>797</v>
      </c>
      <c r="E195" s="11"/>
      <c r="F195" s="12" t="s">
        <v>798</v>
      </c>
      <c r="G195" s="11"/>
      <c r="H195" s="11"/>
      <c r="I195" s="11"/>
      <c r="J195" s="11"/>
      <c r="K195" s="11"/>
      <c r="L195" s="11"/>
      <c r="M195" s="11"/>
      <c r="N195" s="11"/>
      <c r="O195" s="11"/>
      <c r="P195" s="11"/>
      <c r="Q195" s="11"/>
      <c r="R195" s="11"/>
      <c r="S195" s="11"/>
      <c r="T195" s="11"/>
      <c r="U195" s="11"/>
      <c r="V195" s="11"/>
      <c r="W195" s="11"/>
      <c r="X195" s="11"/>
      <c r="Y195" s="11"/>
      <c r="Z195" s="11"/>
    </row>
    <row r="196" spans="1:26" ht="22.5" customHeight="1">
      <c r="A196" s="11"/>
      <c r="B196" s="11"/>
      <c r="C196" s="11"/>
      <c r="D196" s="12" t="s">
        <v>799</v>
      </c>
      <c r="E196" s="11"/>
      <c r="F196" s="12" t="s">
        <v>800</v>
      </c>
      <c r="G196" s="11"/>
      <c r="H196" s="11"/>
      <c r="I196" s="11"/>
      <c r="J196" s="11"/>
      <c r="K196" s="11"/>
      <c r="L196" s="11"/>
      <c r="M196" s="11"/>
      <c r="N196" s="11"/>
      <c r="O196" s="11"/>
      <c r="P196" s="11"/>
      <c r="Q196" s="11"/>
      <c r="R196" s="11"/>
      <c r="S196" s="11"/>
      <c r="T196" s="11"/>
      <c r="U196" s="11"/>
      <c r="V196" s="11"/>
      <c r="W196" s="11"/>
      <c r="X196" s="11"/>
      <c r="Y196" s="11"/>
      <c r="Z196" s="11"/>
    </row>
    <row r="197" spans="1:26" ht="22.5" customHeight="1">
      <c r="A197" s="11"/>
      <c r="B197" s="11"/>
      <c r="C197" s="11"/>
      <c r="D197" s="12" t="s">
        <v>801</v>
      </c>
      <c r="E197" s="11"/>
      <c r="F197" s="12" t="s">
        <v>802</v>
      </c>
      <c r="G197" s="11"/>
      <c r="H197" s="11"/>
      <c r="I197" s="11"/>
      <c r="J197" s="11"/>
      <c r="K197" s="11"/>
      <c r="L197" s="11"/>
      <c r="M197" s="11"/>
      <c r="N197" s="11"/>
      <c r="O197" s="11"/>
      <c r="P197" s="11"/>
      <c r="Q197" s="11"/>
      <c r="R197" s="11"/>
      <c r="S197" s="11"/>
      <c r="T197" s="11"/>
      <c r="U197" s="11"/>
      <c r="V197" s="11"/>
      <c r="W197" s="11"/>
      <c r="X197" s="11"/>
      <c r="Y197" s="11"/>
      <c r="Z197" s="11"/>
    </row>
    <row r="198" spans="1:26" ht="22.5" customHeight="1">
      <c r="A198" s="11"/>
      <c r="B198" s="11"/>
      <c r="C198" s="11"/>
      <c r="D198" s="12" t="s">
        <v>803</v>
      </c>
      <c r="E198" s="11"/>
      <c r="F198" s="12" t="s">
        <v>804</v>
      </c>
      <c r="G198" s="11"/>
      <c r="H198" s="11"/>
      <c r="I198" s="11"/>
      <c r="J198" s="11"/>
      <c r="K198" s="11"/>
      <c r="L198" s="11"/>
      <c r="M198" s="11"/>
      <c r="N198" s="11"/>
      <c r="O198" s="11"/>
      <c r="P198" s="11"/>
      <c r="Q198" s="11"/>
      <c r="R198" s="11"/>
      <c r="S198" s="11"/>
      <c r="T198" s="11"/>
      <c r="U198" s="11"/>
      <c r="V198" s="11"/>
      <c r="W198" s="11"/>
      <c r="X198" s="11"/>
      <c r="Y198" s="11"/>
      <c r="Z198" s="11"/>
    </row>
    <row r="199" spans="1:26" ht="22.5" customHeight="1">
      <c r="A199" s="11"/>
      <c r="B199" s="11"/>
      <c r="C199" s="11"/>
      <c r="D199" s="12" t="s">
        <v>805</v>
      </c>
      <c r="E199" s="11"/>
      <c r="F199" s="12" t="s">
        <v>806</v>
      </c>
      <c r="G199" s="11"/>
      <c r="H199" s="11"/>
      <c r="I199" s="11"/>
      <c r="J199" s="11"/>
      <c r="K199" s="11"/>
      <c r="L199" s="11"/>
      <c r="M199" s="11"/>
      <c r="N199" s="11"/>
      <c r="O199" s="11"/>
      <c r="P199" s="11"/>
      <c r="Q199" s="11"/>
      <c r="R199" s="11"/>
      <c r="S199" s="11"/>
      <c r="T199" s="11"/>
      <c r="U199" s="11"/>
      <c r="V199" s="11"/>
      <c r="W199" s="11"/>
      <c r="X199" s="11"/>
      <c r="Y199" s="11"/>
      <c r="Z199" s="11"/>
    </row>
    <row r="200" spans="1:26" ht="22.5" customHeight="1">
      <c r="A200" s="11"/>
      <c r="B200" s="11"/>
      <c r="C200" s="11"/>
      <c r="D200" s="12" t="s">
        <v>807</v>
      </c>
      <c r="E200" s="11"/>
      <c r="F200" s="12" t="s">
        <v>808</v>
      </c>
      <c r="G200" s="11"/>
      <c r="H200" s="11"/>
      <c r="I200" s="11"/>
      <c r="J200" s="11"/>
      <c r="K200" s="11"/>
      <c r="L200" s="11"/>
      <c r="M200" s="11"/>
      <c r="N200" s="11"/>
      <c r="O200" s="11"/>
      <c r="P200" s="11"/>
      <c r="Q200" s="11"/>
      <c r="R200" s="11"/>
      <c r="S200" s="11"/>
      <c r="T200" s="11"/>
      <c r="U200" s="11"/>
      <c r="V200" s="11"/>
      <c r="W200" s="11"/>
      <c r="X200" s="11"/>
      <c r="Y200" s="11"/>
      <c r="Z200" s="11"/>
    </row>
    <row r="201" spans="1:26" ht="22.5" customHeight="1">
      <c r="A201" s="11"/>
      <c r="B201" s="11"/>
      <c r="C201" s="11"/>
      <c r="D201" s="12" t="s">
        <v>612</v>
      </c>
      <c r="E201" s="11"/>
      <c r="F201" s="12" t="s">
        <v>809</v>
      </c>
      <c r="G201" s="11"/>
      <c r="H201" s="11"/>
      <c r="I201" s="11"/>
      <c r="J201" s="11"/>
      <c r="K201" s="11"/>
      <c r="L201" s="11"/>
      <c r="M201" s="11"/>
      <c r="N201" s="11"/>
      <c r="O201" s="11"/>
      <c r="P201" s="11"/>
      <c r="Q201" s="11"/>
      <c r="R201" s="11"/>
      <c r="S201" s="11"/>
      <c r="T201" s="11"/>
      <c r="U201" s="11"/>
      <c r="V201" s="11"/>
      <c r="W201" s="11"/>
      <c r="X201" s="11"/>
      <c r="Y201" s="11"/>
      <c r="Z201" s="11"/>
    </row>
    <row r="202" spans="1:26" ht="22.5" customHeight="1">
      <c r="A202" s="11"/>
      <c r="B202" s="11"/>
      <c r="C202" s="11"/>
      <c r="D202" s="12" t="s">
        <v>810</v>
      </c>
      <c r="E202" s="11"/>
      <c r="F202" s="12" t="s">
        <v>811</v>
      </c>
      <c r="G202" s="11"/>
      <c r="H202" s="11"/>
      <c r="I202" s="11"/>
      <c r="J202" s="11"/>
      <c r="K202" s="11"/>
      <c r="L202" s="11"/>
      <c r="M202" s="11"/>
      <c r="N202" s="11"/>
      <c r="O202" s="11"/>
      <c r="P202" s="11"/>
      <c r="Q202" s="11"/>
      <c r="R202" s="11"/>
      <c r="S202" s="11"/>
      <c r="T202" s="11"/>
      <c r="U202" s="11"/>
      <c r="V202" s="11"/>
      <c r="W202" s="11"/>
      <c r="X202" s="11"/>
      <c r="Y202" s="11"/>
      <c r="Z202" s="11"/>
    </row>
    <row r="203" spans="1:26" ht="22.5" customHeight="1">
      <c r="A203" s="11"/>
      <c r="B203" s="11"/>
      <c r="C203" s="11"/>
      <c r="D203" s="12" t="s">
        <v>812</v>
      </c>
      <c r="E203" s="11"/>
      <c r="F203" s="12" t="s">
        <v>813</v>
      </c>
      <c r="G203" s="11"/>
      <c r="H203" s="11"/>
      <c r="I203" s="11"/>
      <c r="J203" s="11"/>
      <c r="K203" s="11"/>
      <c r="L203" s="11"/>
      <c r="M203" s="11"/>
      <c r="N203" s="11"/>
      <c r="O203" s="11"/>
      <c r="P203" s="11"/>
      <c r="Q203" s="11"/>
      <c r="R203" s="11"/>
      <c r="S203" s="11"/>
      <c r="T203" s="11"/>
      <c r="U203" s="11"/>
      <c r="V203" s="11"/>
      <c r="W203" s="11"/>
      <c r="X203" s="11"/>
      <c r="Y203" s="11"/>
      <c r="Z203" s="11"/>
    </row>
    <row r="204" spans="1:26" ht="22.5" customHeight="1">
      <c r="A204" s="11"/>
      <c r="B204" s="11"/>
      <c r="C204" s="11"/>
      <c r="D204" s="12" t="s">
        <v>814</v>
      </c>
      <c r="E204" s="11"/>
      <c r="F204" s="12" t="s">
        <v>815</v>
      </c>
      <c r="G204" s="11"/>
      <c r="H204" s="11"/>
      <c r="I204" s="11"/>
      <c r="J204" s="11"/>
      <c r="K204" s="11"/>
      <c r="L204" s="11"/>
      <c r="M204" s="11"/>
      <c r="N204" s="11"/>
      <c r="O204" s="11"/>
      <c r="P204" s="11"/>
      <c r="Q204" s="11"/>
      <c r="R204" s="11"/>
      <c r="S204" s="11"/>
      <c r="T204" s="11"/>
      <c r="U204" s="11"/>
      <c r="V204" s="11"/>
      <c r="W204" s="11"/>
      <c r="X204" s="11"/>
      <c r="Y204" s="11"/>
      <c r="Z204" s="11"/>
    </row>
    <row r="205" spans="1:26" ht="22.5" customHeight="1">
      <c r="A205" s="11"/>
      <c r="B205" s="11"/>
      <c r="C205" s="11"/>
      <c r="D205" s="12" t="s">
        <v>816</v>
      </c>
      <c r="E205" s="11"/>
      <c r="F205" s="12" t="s">
        <v>817</v>
      </c>
      <c r="G205" s="11"/>
      <c r="H205" s="11"/>
      <c r="I205" s="11"/>
      <c r="J205" s="11"/>
      <c r="K205" s="11"/>
      <c r="L205" s="11"/>
      <c r="M205" s="11"/>
      <c r="N205" s="11"/>
      <c r="O205" s="11"/>
      <c r="P205" s="11"/>
      <c r="Q205" s="11"/>
      <c r="R205" s="11"/>
      <c r="S205" s="11"/>
      <c r="T205" s="11"/>
      <c r="U205" s="11"/>
      <c r="V205" s="11"/>
      <c r="W205" s="11"/>
      <c r="X205" s="11"/>
      <c r="Y205" s="11"/>
      <c r="Z205" s="11"/>
    </row>
    <row r="206" spans="1:26" ht="22.5" customHeight="1">
      <c r="A206" s="11"/>
      <c r="B206" s="11"/>
      <c r="C206" s="11"/>
      <c r="D206" s="12" t="s">
        <v>818</v>
      </c>
      <c r="E206" s="11"/>
      <c r="F206" s="12" t="s">
        <v>819</v>
      </c>
      <c r="G206" s="11"/>
      <c r="H206" s="11"/>
      <c r="I206" s="11"/>
      <c r="J206" s="11"/>
      <c r="K206" s="11"/>
      <c r="L206" s="11"/>
      <c r="M206" s="11"/>
      <c r="N206" s="11"/>
      <c r="O206" s="11"/>
      <c r="P206" s="11"/>
      <c r="Q206" s="11"/>
      <c r="R206" s="11"/>
      <c r="S206" s="11"/>
      <c r="T206" s="11"/>
      <c r="U206" s="11"/>
      <c r="V206" s="11"/>
      <c r="W206" s="11"/>
      <c r="X206" s="11"/>
      <c r="Y206" s="11"/>
      <c r="Z206" s="11"/>
    </row>
    <row r="207" spans="1:26" ht="22.5" customHeight="1">
      <c r="A207" s="11"/>
      <c r="B207" s="11"/>
      <c r="C207" s="11"/>
      <c r="D207" s="12" t="s">
        <v>616</v>
      </c>
      <c r="E207" s="11"/>
      <c r="F207" s="12" t="s">
        <v>820</v>
      </c>
      <c r="G207" s="11"/>
      <c r="H207" s="11"/>
      <c r="I207" s="11"/>
      <c r="J207" s="11"/>
      <c r="K207" s="11"/>
      <c r="L207" s="11"/>
      <c r="M207" s="11"/>
      <c r="N207" s="11"/>
      <c r="O207" s="11"/>
      <c r="P207" s="11"/>
      <c r="Q207" s="11"/>
      <c r="R207" s="11"/>
      <c r="S207" s="11"/>
      <c r="T207" s="11"/>
      <c r="U207" s="11"/>
      <c r="V207" s="11"/>
      <c r="W207" s="11"/>
      <c r="X207" s="11"/>
      <c r="Y207" s="11"/>
      <c r="Z207" s="11"/>
    </row>
    <row r="208" spans="1:26" ht="22.5" customHeight="1">
      <c r="A208" s="11"/>
      <c r="B208" s="11"/>
      <c r="C208" s="11"/>
      <c r="D208" s="12" t="s">
        <v>821</v>
      </c>
      <c r="E208" s="11"/>
      <c r="F208" s="12" t="s">
        <v>822</v>
      </c>
      <c r="G208" s="11"/>
      <c r="H208" s="11"/>
      <c r="I208" s="11"/>
      <c r="J208" s="11"/>
      <c r="K208" s="11"/>
      <c r="L208" s="11"/>
      <c r="M208" s="11"/>
      <c r="N208" s="11"/>
      <c r="O208" s="11"/>
      <c r="P208" s="11"/>
      <c r="Q208" s="11"/>
      <c r="R208" s="11"/>
      <c r="S208" s="11"/>
      <c r="T208" s="11"/>
      <c r="U208" s="11"/>
      <c r="V208" s="11"/>
      <c r="W208" s="11"/>
      <c r="X208" s="11"/>
      <c r="Y208" s="11"/>
      <c r="Z208" s="11"/>
    </row>
    <row r="209" spans="1:26" ht="22.5" customHeight="1">
      <c r="A209" s="11"/>
      <c r="B209" s="11"/>
      <c r="C209" s="11"/>
      <c r="D209" s="12" t="s">
        <v>823</v>
      </c>
      <c r="E209" s="11"/>
      <c r="F209" s="12" t="s">
        <v>824</v>
      </c>
      <c r="G209" s="11"/>
      <c r="H209" s="11"/>
      <c r="I209" s="11"/>
      <c r="J209" s="11"/>
      <c r="K209" s="11"/>
      <c r="L209" s="11"/>
      <c r="M209" s="11"/>
      <c r="N209" s="11"/>
      <c r="O209" s="11"/>
      <c r="P209" s="11"/>
      <c r="Q209" s="11"/>
      <c r="R209" s="11"/>
      <c r="S209" s="11"/>
      <c r="T209" s="11"/>
      <c r="U209" s="11"/>
      <c r="V209" s="11"/>
      <c r="W209" s="11"/>
      <c r="X209" s="11"/>
      <c r="Y209" s="11"/>
      <c r="Z209" s="11"/>
    </row>
    <row r="210" spans="1:26" ht="22.5" customHeight="1">
      <c r="A210" s="11"/>
      <c r="B210" s="11"/>
      <c r="C210" s="11"/>
      <c r="D210" s="12" t="s">
        <v>825</v>
      </c>
      <c r="E210" s="11"/>
      <c r="F210" s="12" t="s">
        <v>826</v>
      </c>
      <c r="G210" s="11"/>
      <c r="H210" s="11"/>
      <c r="I210" s="11"/>
      <c r="J210" s="11"/>
      <c r="K210" s="11"/>
      <c r="L210" s="11"/>
      <c r="M210" s="11"/>
      <c r="N210" s="11"/>
      <c r="O210" s="11"/>
      <c r="P210" s="11"/>
      <c r="Q210" s="11"/>
      <c r="R210" s="11"/>
      <c r="S210" s="11"/>
      <c r="T210" s="11"/>
      <c r="U210" s="11"/>
      <c r="V210" s="11"/>
      <c r="W210" s="11"/>
      <c r="X210" s="11"/>
      <c r="Y210" s="11"/>
      <c r="Z210" s="11"/>
    </row>
    <row r="211" spans="1:26" ht="22.5" customHeight="1">
      <c r="A211" s="11"/>
      <c r="B211" s="11"/>
      <c r="C211" s="11"/>
      <c r="D211" s="12" t="s">
        <v>827</v>
      </c>
      <c r="E211" s="11"/>
      <c r="F211" s="12" t="s">
        <v>828</v>
      </c>
      <c r="G211" s="11"/>
      <c r="H211" s="11"/>
      <c r="I211" s="11"/>
      <c r="J211" s="11"/>
      <c r="K211" s="11"/>
      <c r="L211" s="11"/>
      <c r="M211" s="11"/>
      <c r="N211" s="11"/>
      <c r="O211" s="11"/>
      <c r="P211" s="11"/>
      <c r="Q211" s="11"/>
      <c r="R211" s="11"/>
      <c r="S211" s="11"/>
      <c r="T211" s="11"/>
      <c r="U211" s="11"/>
      <c r="V211" s="11"/>
      <c r="W211" s="11"/>
      <c r="X211" s="11"/>
      <c r="Y211" s="11"/>
      <c r="Z211" s="11"/>
    </row>
    <row r="212" spans="1:26" ht="22.5" customHeight="1">
      <c r="A212" s="11"/>
      <c r="B212" s="11"/>
      <c r="C212" s="11"/>
      <c r="D212" s="12" t="s">
        <v>619</v>
      </c>
      <c r="E212" s="11"/>
      <c r="F212" s="12" t="s">
        <v>829</v>
      </c>
      <c r="G212" s="11"/>
      <c r="H212" s="11"/>
      <c r="I212" s="11"/>
      <c r="J212" s="11"/>
      <c r="K212" s="11"/>
      <c r="L212" s="11"/>
      <c r="M212" s="11"/>
      <c r="N212" s="11"/>
      <c r="O212" s="11"/>
      <c r="P212" s="11"/>
      <c r="Q212" s="11"/>
      <c r="R212" s="11"/>
      <c r="S212" s="11"/>
      <c r="T212" s="11"/>
      <c r="U212" s="11"/>
      <c r="V212" s="11"/>
      <c r="W212" s="11"/>
      <c r="X212" s="11"/>
      <c r="Y212" s="11"/>
      <c r="Z212" s="11"/>
    </row>
    <row r="213" spans="1:26" ht="22.5" customHeight="1">
      <c r="A213" s="11"/>
      <c r="B213" s="11"/>
      <c r="C213" s="11"/>
      <c r="D213" s="12" t="s">
        <v>830</v>
      </c>
      <c r="E213" s="11"/>
      <c r="F213" s="12" t="s">
        <v>831</v>
      </c>
      <c r="G213" s="11"/>
      <c r="H213" s="11"/>
      <c r="I213" s="11"/>
      <c r="J213" s="11"/>
      <c r="K213" s="11"/>
      <c r="L213" s="11"/>
      <c r="M213" s="11"/>
      <c r="N213" s="11"/>
      <c r="O213" s="11"/>
      <c r="P213" s="11"/>
      <c r="Q213" s="11"/>
      <c r="R213" s="11"/>
      <c r="S213" s="11"/>
      <c r="T213" s="11"/>
      <c r="U213" s="11"/>
      <c r="V213" s="11"/>
      <c r="W213" s="11"/>
      <c r="X213" s="11"/>
      <c r="Y213" s="11"/>
      <c r="Z213" s="11"/>
    </row>
    <row r="214" spans="1:26" ht="22.5" customHeight="1">
      <c r="A214" s="11"/>
      <c r="B214" s="11"/>
      <c r="C214" s="11"/>
      <c r="D214" s="12" t="s">
        <v>832</v>
      </c>
      <c r="E214" s="11"/>
      <c r="F214" s="12" t="s">
        <v>833</v>
      </c>
      <c r="G214" s="11"/>
      <c r="H214" s="11"/>
      <c r="I214" s="11"/>
      <c r="J214" s="11"/>
      <c r="K214" s="11"/>
      <c r="L214" s="11"/>
      <c r="M214" s="11"/>
      <c r="N214" s="11"/>
      <c r="O214" s="11"/>
      <c r="P214" s="11"/>
      <c r="Q214" s="11"/>
      <c r="R214" s="11"/>
      <c r="S214" s="11"/>
      <c r="T214" s="11"/>
      <c r="U214" s="11"/>
      <c r="V214" s="11"/>
      <c r="W214" s="11"/>
      <c r="X214" s="11"/>
      <c r="Y214" s="11"/>
      <c r="Z214" s="11"/>
    </row>
    <row r="215" spans="1:26" ht="22.5" customHeight="1">
      <c r="A215" s="11"/>
      <c r="B215" s="11"/>
      <c r="C215" s="11"/>
      <c r="D215" s="12" t="s">
        <v>834</v>
      </c>
      <c r="E215" s="11"/>
      <c r="F215" s="12" t="s">
        <v>237</v>
      </c>
      <c r="G215" s="11"/>
      <c r="H215" s="11"/>
      <c r="I215" s="11"/>
      <c r="J215" s="11"/>
      <c r="K215" s="11"/>
      <c r="L215" s="11"/>
      <c r="M215" s="11"/>
      <c r="N215" s="11"/>
      <c r="O215" s="11"/>
      <c r="P215" s="11"/>
      <c r="Q215" s="11"/>
      <c r="R215" s="11"/>
      <c r="S215" s="11"/>
      <c r="T215" s="11"/>
      <c r="U215" s="11"/>
      <c r="V215" s="11"/>
      <c r="W215" s="11"/>
      <c r="X215" s="11"/>
      <c r="Y215" s="11"/>
      <c r="Z215" s="11"/>
    </row>
    <row r="216" spans="1:26" ht="22.5" customHeight="1">
      <c r="A216" s="11"/>
      <c r="B216" s="11"/>
      <c r="C216" s="11"/>
      <c r="D216" s="12" t="s">
        <v>835</v>
      </c>
      <c r="E216" s="11"/>
      <c r="F216" s="12" t="s">
        <v>186</v>
      </c>
      <c r="G216" s="11"/>
      <c r="H216" s="11"/>
      <c r="I216" s="11"/>
      <c r="J216" s="11"/>
      <c r="K216" s="11"/>
      <c r="L216" s="11"/>
      <c r="M216" s="11"/>
      <c r="N216" s="11"/>
      <c r="O216" s="11"/>
      <c r="P216" s="11"/>
      <c r="Q216" s="11"/>
      <c r="R216" s="11"/>
      <c r="S216" s="11"/>
      <c r="T216" s="11"/>
      <c r="U216" s="11"/>
      <c r="V216" s="11"/>
      <c r="W216" s="11"/>
      <c r="X216" s="11"/>
      <c r="Y216" s="11"/>
      <c r="Z216" s="11"/>
    </row>
    <row r="217" spans="1:26" ht="22.5" customHeight="1">
      <c r="A217" s="11"/>
      <c r="B217" s="11"/>
      <c r="C217" s="11"/>
      <c r="D217" s="12" t="s">
        <v>836</v>
      </c>
      <c r="E217" s="11"/>
      <c r="F217" s="12" t="s">
        <v>837</v>
      </c>
      <c r="G217" s="11"/>
      <c r="H217" s="11"/>
      <c r="I217" s="11"/>
      <c r="J217" s="11"/>
      <c r="K217" s="11"/>
      <c r="L217" s="11"/>
      <c r="M217" s="11"/>
      <c r="N217" s="11"/>
      <c r="O217" s="11"/>
      <c r="P217" s="11"/>
      <c r="Q217" s="11"/>
      <c r="R217" s="11"/>
      <c r="S217" s="11"/>
      <c r="T217" s="11"/>
      <c r="U217" s="11"/>
      <c r="V217" s="11"/>
      <c r="W217" s="11"/>
      <c r="X217" s="11"/>
      <c r="Y217" s="11"/>
      <c r="Z217" s="11"/>
    </row>
    <row r="218" spans="1:26" ht="22.5" customHeight="1">
      <c r="A218" s="11"/>
      <c r="B218" s="11"/>
      <c r="C218" s="11"/>
      <c r="D218" s="12" t="s">
        <v>626</v>
      </c>
      <c r="E218" s="11"/>
      <c r="F218" s="12" t="s">
        <v>838</v>
      </c>
      <c r="G218" s="11"/>
      <c r="H218" s="11"/>
      <c r="I218" s="11"/>
      <c r="J218" s="11"/>
      <c r="K218" s="11"/>
      <c r="L218" s="11"/>
      <c r="M218" s="11"/>
      <c r="N218" s="11"/>
      <c r="O218" s="11"/>
      <c r="P218" s="11"/>
      <c r="Q218" s="11"/>
      <c r="R218" s="11"/>
      <c r="S218" s="11"/>
      <c r="T218" s="11"/>
      <c r="U218" s="11"/>
      <c r="V218" s="11"/>
      <c r="W218" s="11"/>
      <c r="X218" s="11"/>
      <c r="Y218" s="11"/>
      <c r="Z218" s="11"/>
    </row>
    <row r="219" spans="1:26" ht="22.5" customHeight="1">
      <c r="A219" s="11"/>
      <c r="B219" s="11"/>
      <c r="C219" s="11"/>
      <c r="D219" s="12" t="s">
        <v>839</v>
      </c>
      <c r="E219" s="11"/>
      <c r="F219" s="12" t="s">
        <v>840</v>
      </c>
      <c r="G219" s="11"/>
      <c r="H219" s="11"/>
      <c r="I219" s="11"/>
      <c r="J219" s="11"/>
      <c r="K219" s="11"/>
      <c r="L219" s="11"/>
      <c r="M219" s="11"/>
      <c r="N219" s="11"/>
      <c r="O219" s="11"/>
      <c r="P219" s="11"/>
      <c r="Q219" s="11"/>
      <c r="R219" s="11"/>
      <c r="S219" s="11"/>
      <c r="T219" s="11"/>
      <c r="U219" s="11"/>
      <c r="V219" s="11"/>
      <c r="W219" s="11"/>
      <c r="X219" s="11"/>
      <c r="Y219" s="11"/>
      <c r="Z219" s="11"/>
    </row>
    <row r="220" spans="1:26" ht="22.5" customHeight="1">
      <c r="A220" s="11"/>
      <c r="B220" s="11"/>
      <c r="C220" s="11"/>
      <c r="D220" s="12" t="s">
        <v>841</v>
      </c>
      <c r="E220" s="11"/>
      <c r="F220" s="12" t="s">
        <v>842</v>
      </c>
      <c r="G220" s="11"/>
      <c r="H220" s="11"/>
      <c r="I220" s="11"/>
      <c r="J220" s="11"/>
      <c r="K220" s="11"/>
      <c r="L220" s="11"/>
      <c r="M220" s="11"/>
      <c r="N220" s="11"/>
      <c r="O220" s="11"/>
      <c r="P220" s="11"/>
      <c r="Q220" s="11"/>
      <c r="R220" s="11"/>
      <c r="S220" s="11"/>
      <c r="T220" s="11"/>
      <c r="U220" s="11"/>
      <c r="V220" s="11"/>
      <c r="W220" s="11"/>
      <c r="X220" s="11"/>
      <c r="Y220" s="11"/>
      <c r="Z220" s="11"/>
    </row>
    <row r="221" spans="1:26" ht="22.5" customHeight="1">
      <c r="A221" s="11"/>
      <c r="B221" s="11"/>
      <c r="C221" s="11"/>
      <c r="D221" s="12" t="s">
        <v>843</v>
      </c>
      <c r="E221" s="11"/>
      <c r="F221" s="12" t="s">
        <v>844</v>
      </c>
      <c r="G221" s="11"/>
      <c r="H221" s="11"/>
      <c r="I221" s="11"/>
      <c r="J221" s="11"/>
      <c r="K221" s="11"/>
      <c r="L221" s="11"/>
      <c r="M221" s="11"/>
      <c r="N221" s="11"/>
      <c r="O221" s="11"/>
      <c r="P221" s="11"/>
      <c r="Q221" s="11"/>
      <c r="R221" s="11"/>
      <c r="S221" s="11"/>
      <c r="T221" s="11"/>
      <c r="U221" s="11"/>
      <c r="V221" s="11"/>
      <c r="W221" s="11"/>
      <c r="X221" s="11"/>
      <c r="Y221" s="11"/>
      <c r="Z221" s="11"/>
    </row>
    <row r="222" spans="1:26" ht="22.5" customHeight="1">
      <c r="A222" s="11"/>
      <c r="B222" s="11"/>
      <c r="C222" s="11"/>
      <c r="D222" s="12" t="s">
        <v>845</v>
      </c>
      <c r="E222" s="11"/>
      <c r="F222" s="12" t="s">
        <v>846</v>
      </c>
      <c r="G222" s="11"/>
      <c r="H222" s="11"/>
      <c r="I222" s="11"/>
      <c r="J222" s="11"/>
      <c r="K222" s="11"/>
      <c r="L222" s="11"/>
      <c r="M222" s="11"/>
      <c r="N222" s="11"/>
      <c r="O222" s="11"/>
      <c r="P222" s="11"/>
      <c r="Q222" s="11"/>
      <c r="R222" s="11"/>
      <c r="S222" s="11"/>
      <c r="T222" s="11"/>
      <c r="U222" s="11"/>
      <c r="V222" s="11"/>
      <c r="W222" s="11"/>
      <c r="X222" s="11"/>
      <c r="Y222" s="11"/>
      <c r="Z222" s="11"/>
    </row>
    <row r="223" spans="1:26" ht="22.5" customHeight="1">
      <c r="A223" s="11"/>
      <c r="B223" s="11"/>
      <c r="C223" s="11"/>
      <c r="D223" s="12" t="s">
        <v>847</v>
      </c>
      <c r="E223" s="11"/>
      <c r="F223" s="12" t="s">
        <v>848</v>
      </c>
      <c r="G223" s="11"/>
      <c r="H223" s="11"/>
      <c r="I223" s="11"/>
      <c r="J223" s="11"/>
      <c r="K223" s="11"/>
      <c r="L223" s="11"/>
      <c r="M223" s="11"/>
      <c r="N223" s="11"/>
      <c r="O223" s="11"/>
      <c r="P223" s="11"/>
      <c r="Q223" s="11"/>
      <c r="R223" s="11"/>
      <c r="S223" s="11"/>
      <c r="T223" s="11"/>
      <c r="U223" s="11"/>
      <c r="V223" s="11"/>
      <c r="W223" s="11"/>
      <c r="X223" s="11"/>
      <c r="Y223" s="11"/>
      <c r="Z223" s="11"/>
    </row>
    <row r="224" spans="1:26" ht="22.5" customHeight="1">
      <c r="A224" s="11"/>
      <c r="B224" s="11"/>
      <c r="C224" s="11"/>
      <c r="D224" s="12" t="s">
        <v>849</v>
      </c>
      <c r="E224" s="11"/>
      <c r="F224" s="12" t="s">
        <v>850</v>
      </c>
      <c r="G224" s="11"/>
      <c r="H224" s="11"/>
      <c r="I224" s="11"/>
      <c r="J224" s="11"/>
      <c r="K224" s="11"/>
      <c r="L224" s="11"/>
      <c r="M224" s="11"/>
      <c r="N224" s="11"/>
      <c r="O224" s="11"/>
      <c r="P224" s="11"/>
      <c r="Q224" s="11"/>
      <c r="R224" s="11"/>
      <c r="S224" s="11"/>
      <c r="T224" s="11"/>
      <c r="U224" s="11"/>
      <c r="V224" s="11"/>
      <c r="W224" s="11"/>
      <c r="X224" s="11"/>
      <c r="Y224" s="11"/>
      <c r="Z224" s="11"/>
    </row>
    <row r="225" spans="1:26" ht="22.5" customHeight="1">
      <c r="A225" s="11"/>
      <c r="B225" s="11"/>
      <c r="C225" s="11"/>
      <c r="D225" s="11"/>
      <c r="E225" s="11"/>
      <c r="F225" s="12" t="s">
        <v>851</v>
      </c>
      <c r="G225" s="11"/>
      <c r="H225" s="11"/>
      <c r="I225" s="11"/>
      <c r="J225" s="11"/>
      <c r="K225" s="11"/>
      <c r="L225" s="11"/>
      <c r="M225" s="11"/>
      <c r="N225" s="11"/>
      <c r="O225" s="11"/>
      <c r="P225" s="11"/>
      <c r="Q225" s="11"/>
      <c r="R225" s="11"/>
      <c r="S225" s="11"/>
      <c r="T225" s="11"/>
      <c r="U225" s="11"/>
      <c r="V225" s="11"/>
      <c r="W225" s="11"/>
      <c r="X225" s="11"/>
      <c r="Y225" s="11"/>
      <c r="Z225" s="11"/>
    </row>
    <row r="226" spans="1:26" ht="22.5" customHeight="1">
      <c r="A226" s="11"/>
      <c r="B226" s="11"/>
      <c r="C226" s="11"/>
      <c r="D226" s="11"/>
      <c r="E226" s="11"/>
      <c r="F226" s="12" t="s">
        <v>852</v>
      </c>
      <c r="G226" s="11"/>
      <c r="H226" s="11"/>
      <c r="I226" s="11"/>
      <c r="J226" s="11"/>
      <c r="K226" s="11"/>
      <c r="L226" s="11"/>
      <c r="M226" s="11"/>
      <c r="N226" s="11"/>
      <c r="O226" s="11"/>
      <c r="P226" s="11"/>
      <c r="Q226" s="11"/>
      <c r="R226" s="11"/>
      <c r="S226" s="11"/>
      <c r="T226" s="11"/>
      <c r="U226" s="11"/>
      <c r="V226" s="11"/>
      <c r="W226" s="11"/>
      <c r="X226" s="11"/>
      <c r="Y226" s="11"/>
      <c r="Z226" s="11"/>
    </row>
    <row r="227" spans="1:26" ht="22.5" customHeight="1">
      <c r="A227" s="11"/>
      <c r="B227" s="11"/>
      <c r="C227" s="11"/>
      <c r="D227" s="11"/>
      <c r="E227" s="11"/>
      <c r="F227" s="12" t="s">
        <v>853</v>
      </c>
      <c r="G227" s="11"/>
      <c r="H227" s="11"/>
      <c r="I227" s="11"/>
      <c r="J227" s="11"/>
      <c r="K227" s="11"/>
      <c r="L227" s="11"/>
      <c r="M227" s="11"/>
      <c r="N227" s="11"/>
      <c r="O227" s="11"/>
      <c r="P227" s="11"/>
      <c r="Q227" s="11"/>
      <c r="R227" s="11"/>
      <c r="S227" s="11"/>
      <c r="T227" s="11"/>
      <c r="U227" s="11"/>
      <c r="V227" s="11"/>
      <c r="W227" s="11"/>
      <c r="X227" s="11"/>
      <c r="Y227" s="11"/>
      <c r="Z227" s="11"/>
    </row>
    <row r="228" spans="1:26" ht="22.5" customHeight="1">
      <c r="A228" s="11"/>
      <c r="B228" s="11"/>
      <c r="C228" s="11"/>
      <c r="D228" s="11"/>
      <c r="E228" s="11"/>
      <c r="F228" s="12" t="s">
        <v>854</v>
      </c>
      <c r="G228" s="11"/>
      <c r="H228" s="11"/>
      <c r="I228" s="11"/>
      <c r="J228" s="11"/>
      <c r="K228" s="11"/>
      <c r="L228" s="11"/>
      <c r="M228" s="11"/>
      <c r="N228" s="11"/>
      <c r="O228" s="11"/>
      <c r="P228" s="11"/>
      <c r="Q228" s="11"/>
      <c r="R228" s="11"/>
      <c r="S228" s="11"/>
      <c r="T228" s="11"/>
      <c r="U228" s="11"/>
      <c r="V228" s="11"/>
      <c r="W228" s="11"/>
      <c r="X228" s="11"/>
      <c r="Y228" s="11"/>
      <c r="Z228" s="11"/>
    </row>
    <row r="229" spans="1:26" ht="22.5" customHeight="1">
      <c r="A229" s="11"/>
      <c r="B229" s="11"/>
      <c r="C229" s="11"/>
      <c r="D229" s="11"/>
      <c r="E229" s="11"/>
      <c r="F229" s="12" t="s">
        <v>855</v>
      </c>
      <c r="G229" s="11"/>
      <c r="H229" s="11"/>
      <c r="I229" s="11"/>
      <c r="J229" s="11"/>
      <c r="K229" s="11"/>
      <c r="L229" s="11"/>
      <c r="M229" s="11"/>
      <c r="N229" s="11"/>
      <c r="O229" s="11"/>
      <c r="P229" s="11"/>
      <c r="Q229" s="11"/>
      <c r="R229" s="11"/>
      <c r="S229" s="11"/>
      <c r="T229" s="11"/>
      <c r="U229" s="11"/>
      <c r="V229" s="11"/>
      <c r="W229" s="11"/>
      <c r="X229" s="11"/>
      <c r="Y229" s="11"/>
      <c r="Z229" s="11"/>
    </row>
    <row r="230" spans="1:26" ht="15.75" customHeight="1">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row>
    <row r="231" spans="1:26" ht="15.75" customHeight="1">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row>
    <row r="232" spans="1:26" ht="15.75" customHeight="1">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row>
    <row r="233" spans="1:26" ht="15.75" customHeight="1">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row>
    <row r="234" spans="1:26" ht="15.75" customHeight="1">
      <c r="A234" s="168"/>
      <c r="B234" s="169"/>
      <c r="C234" s="169"/>
      <c r="D234" s="169"/>
      <c r="E234" s="169"/>
      <c r="F234" s="169"/>
      <c r="G234" s="169"/>
      <c r="H234" s="15"/>
      <c r="I234" s="15"/>
      <c r="J234" s="15"/>
      <c r="K234" s="15"/>
      <c r="L234" s="15"/>
      <c r="M234" s="15"/>
      <c r="N234" s="15"/>
      <c r="O234" s="15"/>
      <c r="P234" s="15"/>
      <c r="Q234" s="15"/>
      <c r="R234" s="15"/>
      <c r="S234" s="15"/>
      <c r="T234" s="15"/>
      <c r="U234" s="15"/>
      <c r="V234" s="15"/>
      <c r="W234" s="15"/>
      <c r="X234" s="15"/>
      <c r="Y234" s="15"/>
      <c r="Z234" s="15"/>
    </row>
    <row r="235" spans="1:26" ht="15.75" customHeight="1">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row>
    <row r="236" spans="1:26" ht="15.75" customHeight="1">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row>
    <row r="237" spans="1:26" ht="15.75" customHeight="1">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row>
    <row r="238" spans="1:26" ht="15.75" customHeight="1">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row>
    <row r="239" spans="1:26" ht="15.75" customHeight="1">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row>
    <row r="240" spans="1:26" ht="15.75" customHeight="1">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row>
    <row r="241" spans="1:26" ht="15.75" customHeight="1">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row>
    <row r="242" spans="1:26" ht="15.75" customHeight="1">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row>
    <row r="243" spans="1:26" ht="15.75" customHeight="1">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row>
    <row r="244" spans="1:26" ht="15.75" customHeight="1">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row>
    <row r="245" spans="1:26" ht="15.75" customHeight="1">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row>
    <row r="246" spans="1:26" ht="15.75" customHeight="1">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row>
    <row r="247" spans="1:26" ht="15.75" customHeight="1">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row>
    <row r="248" spans="1:26" ht="15.75" customHeight="1">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row>
    <row r="249" spans="1:26" ht="15.75" customHeight="1">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row>
    <row r="250" spans="1:26" ht="15.75" customHeight="1">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row>
    <row r="251" spans="1:26" ht="15.75" customHeight="1">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row>
    <row r="252" spans="1:26" ht="15.75" customHeight="1">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row>
    <row r="253" spans="1:26" ht="15.75" customHeight="1">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row>
    <row r="254" spans="1:26" ht="15.75" customHeight="1">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row>
    <row r="255" spans="1:26" ht="15.75" customHeight="1">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row>
    <row r="256" spans="1:26" ht="15.75" customHeight="1">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row>
    <row r="257" spans="1:26" ht="15.75" customHeight="1">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row>
    <row r="258" spans="1:26" ht="15.75" customHeight="1">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row>
    <row r="259" spans="1:26" ht="15.75" customHeight="1">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row>
    <row r="260" spans="1:26" ht="15.75" customHeight="1">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row>
    <row r="261" spans="1:26" ht="15.75" customHeight="1">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row>
    <row r="262" spans="1:26" ht="15.75" customHeight="1">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row>
    <row r="263" spans="1:26" ht="15.75" customHeight="1">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row>
    <row r="264" spans="1:26" ht="15.75" customHeight="1">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row>
    <row r="265" spans="1:26" ht="15.75" customHeight="1">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row>
    <row r="266" spans="1:26" ht="15.75" customHeight="1">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row>
    <row r="267" spans="1:26" ht="15.75" customHeight="1">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row>
    <row r="268" spans="1:26" ht="15.75" customHeight="1">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row>
    <row r="269" spans="1:26" ht="15.75" customHeight="1">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row>
    <row r="270" spans="1:26" ht="15.75" customHeight="1">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row>
    <row r="271" spans="1:26" ht="15.75" customHeight="1">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row>
    <row r="272" spans="1:26" ht="15.75" customHeight="1">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row>
    <row r="273" spans="1:26" ht="15.75" customHeight="1">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row>
    <row r="274" spans="1:26" ht="15.75" customHeight="1">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row>
    <row r="275" spans="1:26" ht="15.75" customHeight="1">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row>
    <row r="276" spans="1:26" ht="15.75" customHeight="1">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row>
    <row r="277" spans="1:26" ht="15.75" customHeight="1">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row>
    <row r="278" spans="1:26" ht="15.75" customHeight="1">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row>
    <row r="279" spans="1:26" ht="15.75" customHeight="1">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row>
    <row r="280" spans="1:26" ht="15.75" customHeight="1">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row>
    <row r="281" spans="1:26" ht="15.75" customHeight="1">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row>
    <row r="282" spans="1:26" ht="15.75" customHeight="1">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row>
    <row r="283" spans="1:26" ht="15.75" customHeight="1">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row>
    <row r="284" spans="1:26" ht="15.75" customHeight="1">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row>
    <row r="285" spans="1:26" ht="15.75" customHeight="1">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row>
    <row r="286" spans="1:26" ht="15.75" customHeight="1">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row>
    <row r="287" spans="1:26" ht="15.75" customHeight="1">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row>
    <row r="288" spans="1:26" ht="15.75" customHeight="1">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row>
    <row r="289" spans="1:26" ht="15.75" customHeight="1">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row>
    <row r="290" spans="1:26" ht="15.75" customHeight="1">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row>
    <row r="291" spans="1:26" ht="15.75" customHeight="1">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row>
    <row r="292" spans="1:26" ht="15.75" customHeight="1">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row>
    <row r="293" spans="1:26" ht="15.75" customHeight="1">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row>
    <row r="294" spans="1:26" ht="15.75" customHeight="1">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row>
    <row r="295" spans="1:26" ht="15.75" customHeight="1">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row>
    <row r="296" spans="1:26" ht="15.75" customHeight="1">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row>
    <row r="297" spans="1:26" ht="15.75" customHeight="1">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row>
    <row r="298" spans="1:26" ht="15.75" customHeight="1">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row>
    <row r="299" spans="1:26" ht="15.75" customHeight="1">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row>
    <row r="300" spans="1:26" ht="15.75" customHeight="1">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row>
    <row r="301" spans="1:26" ht="15.75" customHeight="1">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row>
    <row r="302" spans="1:26" ht="15.75" customHeight="1">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row>
    <row r="303" spans="1:26" ht="15.75" customHeight="1">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row>
    <row r="304" spans="1:26" ht="15.75" customHeight="1">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row>
    <row r="305" spans="1:26" ht="15.75" customHeight="1">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row>
    <row r="306" spans="1:26" ht="15.75" customHeight="1">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row>
    <row r="307" spans="1:26" ht="15.75" customHeight="1">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row>
    <row r="308" spans="1:26" ht="15.75" customHeight="1">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row>
    <row r="309" spans="1:26" ht="15.75" customHeight="1">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row>
    <row r="310" spans="1:26" ht="15.75" customHeight="1">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row>
    <row r="311" spans="1:26" ht="15.75" customHeight="1">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row>
    <row r="312" spans="1:26" ht="15.75" customHeight="1">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row>
    <row r="313" spans="1:26" ht="15.75" customHeight="1">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row>
    <row r="314" spans="1:26" ht="15.75" customHeight="1">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row>
    <row r="315" spans="1:26" ht="15.75" customHeight="1">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row>
    <row r="316" spans="1:26" ht="15.75" customHeight="1">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row>
    <row r="317" spans="1:26" ht="15.75" customHeight="1">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row>
    <row r="318" spans="1:26" ht="15.75" customHeight="1">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row>
    <row r="319" spans="1:26" ht="15.75" customHeight="1">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row>
    <row r="320" spans="1:26" ht="15.75" customHeight="1">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row>
    <row r="321" spans="1:26" ht="15.75" customHeight="1">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row>
    <row r="322" spans="1:26" ht="15.75" customHeight="1">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row>
    <row r="323" spans="1:26" ht="15.75" customHeight="1">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row>
    <row r="324" spans="1:26" ht="15.75" customHeight="1">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row>
    <row r="325" spans="1:26" ht="15.75" customHeight="1">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row>
    <row r="326" spans="1:26" ht="15.75" customHeight="1">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row>
    <row r="327" spans="1:26" ht="15.75" customHeight="1">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row>
    <row r="328" spans="1:26" ht="15.75" customHeight="1">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row>
    <row r="329" spans="1:26" ht="15.75" customHeight="1">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row>
    <row r="330" spans="1:26" ht="15.75" customHeight="1">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row>
    <row r="331" spans="1:26" ht="15.75" customHeight="1">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row>
    <row r="332" spans="1:26" ht="15.75" customHeight="1">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row>
    <row r="333" spans="1:26" ht="15.75" customHeight="1">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row>
    <row r="334" spans="1:26" ht="15.75" customHeight="1">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row>
    <row r="335" spans="1:26" ht="15.75" customHeight="1">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row>
    <row r="336" spans="1:26" ht="15.75" customHeight="1">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row>
    <row r="337" spans="1:26" ht="15.75" customHeight="1">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row>
    <row r="338" spans="1:26" ht="15.75" customHeight="1">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row>
    <row r="339" spans="1:26" ht="15.75" customHeight="1">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row>
    <row r="340" spans="1:26" ht="15.75" customHeight="1">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row>
    <row r="341" spans="1:26" ht="15.75" customHeight="1">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row>
    <row r="342" spans="1:26" ht="15.75" customHeight="1">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row>
    <row r="343" spans="1:26" ht="15.75" customHeight="1">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row>
    <row r="344" spans="1:26" ht="15.75" customHeight="1">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row>
    <row r="345" spans="1:26" ht="15.75" customHeight="1">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row>
    <row r="346" spans="1:26" ht="15.75" customHeight="1">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row>
    <row r="347" spans="1:26" ht="15.75" customHeight="1">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row>
    <row r="348" spans="1:26" ht="15.75" customHeight="1">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row>
    <row r="349" spans="1:26" ht="15.75" customHeight="1">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row>
    <row r="350" spans="1:26" ht="15.75" customHeight="1">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row>
    <row r="351" spans="1:26" ht="15.75" customHeight="1">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row>
    <row r="352" spans="1:26" ht="15.75" customHeight="1">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row>
    <row r="353" spans="1:26" ht="15.75" customHeight="1">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row>
    <row r="354" spans="1:26" ht="15.75" customHeight="1">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row>
    <row r="355" spans="1:26" ht="15.75" customHeight="1">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row>
    <row r="356" spans="1:26" ht="15.75" customHeight="1">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row>
    <row r="357" spans="1:26" ht="15.75" customHeight="1">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row>
    <row r="358" spans="1:26" ht="15.75" customHeight="1">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row>
    <row r="359" spans="1:26" ht="15.75" customHeight="1">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row>
    <row r="360" spans="1:26" ht="15.75" customHeight="1">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row>
    <row r="361" spans="1:26" ht="15.75" customHeight="1">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row>
    <row r="362" spans="1:26" ht="15.75" customHeight="1">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row>
    <row r="363" spans="1:26" ht="15.75" customHeight="1">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row>
    <row r="364" spans="1:26" ht="15.75" customHeight="1">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row>
    <row r="365" spans="1:26" ht="15.75" customHeight="1">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row>
    <row r="366" spans="1:26" ht="15.75" customHeight="1">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row>
    <row r="367" spans="1:26" ht="15.75" customHeight="1">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row>
    <row r="368" spans="1:26" ht="15.75" customHeight="1">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row>
    <row r="369" spans="1:26" ht="15.75" customHeight="1">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row>
    <row r="370" spans="1:26" ht="15.75" customHeight="1">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row>
    <row r="371" spans="1:26" ht="15.75" customHeight="1">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row>
    <row r="372" spans="1:26" ht="15.75" customHeight="1">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row>
    <row r="373" spans="1:26" ht="15.75" customHeight="1">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row>
    <row r="374" spans="1:26" ht="15.75" customHeight="1">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row>
    <row r="375" spans="1:26" ht="15.75" customHeight="1">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row>
    <row r="376" spans="1:26" ht="15.75" customHeight="1">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row>
    <row r="377" spans="1:26" ht="15.75" customHeight="1">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row>
    <row r="378" spans="1:26" ht="15.75" customHeight="1">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row>
    <row r="379" spans="1:26" ht="15.75" customHeight="1">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row>
    <row r="380" spans="1:26" ht="15.75" customHeight="1">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row>
    <row r="381" spans="1:26" ht="15.75" customHeight="1">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row>
    <row r="382" spans="1:26" ht="15.75" customHeight="1">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row>
    <row r="383" spans="1:26" ht="15.75" customHeight="1">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row>
    <row r="384" spans="1:26" ht="15.75" customHeight="1">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row>
    <row r="385" spans="1:26" ht="15.75" customHeight="1">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row>
    <row r="386" spans="1:26" ht="15.75" customHeight="1">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row>
    <row r="387" spans="1:26" ht="15.75" customHeight="1">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row>
    <row r="388" spans="1:26" ht="15.75" customHeight="1">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row>
    <row r="389" spans="1:26" ht="15.75" customHeight="1">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row>
    <row r="390" spans="1:26" ht="15.75" customHeight="1">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row>
    <row r="391" spans="1:26" ht="15.75" customHeight="1">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row>
    <row r="392" spans="1:26" ht="15.75" customHeight="1">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row>
    <row r="393" spans="1:26" ht="15.75" customHeight="1">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row>
    <row r="394" spans="1:26" ht="15.75" customHeight="1">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row>
    <row r="395" spans="1:26" ht="15.75" customHeight="1">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row>
    <row r="396" spans="1:26" ht="15.75" customHeight="1">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row>
    <row r="397" spans="1:26" ht="15.75" customHeight="1">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row>
    <row r="398" spans="1:26" ht="15.75" customHeight="1">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row>
    <row r="399" spans="1:26" ht="15.75" customHeight="1">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row>
    <row r="400" spans="1:26" ht="15.75" customHeight="1">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row>
    <row r="401" spans="1:26" ht="15.75" customHeight="1">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row>
    <row r="402" spans="1:26" ht="15.75" customHeight="1">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row>
    <row r="403" spans="1:26" ht="15.75" customHeight="1">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row>
    <row r="404" spans="1:26" ht="15.75" customHeight="1">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row>
    <row r="405" spans="1:26" ht="15.75" customHeight="1">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row>
    <row r="406" spans="1:26" ht="15.75" customHeight="1">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row>
    <row r="407" spans="1:26" ht="15.75" customHeight="1">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row>
    <row r="408" spans="1:26" ht="15.75" customHeight="1">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row>
    <row r="409" spans="1:26" ht="15.75" customHeight="1">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row>
    <row r="410" spans="1:26" ht="15.75" customHeight="1">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row>
    <row r="411" spans="1:26" ht="15.75" customHeight="1">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row>
    <row r="412" spans="1:26" ht="15.75" customHeight="1">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row>
    <row r="413" spans="1:26" ht="15.75" customHeight="1">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row>
    <row r="414" spans="1:26" ht="15.75" customHeight="1">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row>
    <row r="415" spans="1:26" ht="15.75" customHeight="1">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row>
    <row r="416" spans="1:26" ht="15.75" customHeight="1">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row>
    <row r="417" spans="1:26" ht="15.75" customHeight="1">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row>
    <row r="418" spans="1:26" ht="15.75" customHeight="1">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row>
    <row r="419" spans="1:26" ht="15.75" customHeight="1">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row>
    <row r="420" spans="1:26" ht="15.75" customHeight="1">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row>
    <row r="421" spans="1:26" ht="15.75" customHeight="1">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row>
    <row r="422" spans="1:26" ht="15.75" customHeight="1">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row>
    <row r="423" spans="1:26" ht="15.75" customHeight="1">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row>
    <row r="424" spans="1:26" ht="15.75" customHeight="1">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row>
    <row r="425" spans="1:26" ht="15.75" customHeight="1">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row>
    <row r="426" spans="1:26" ht="15.75" customHeight="1">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row>
    <row r="427" spans="1:26" ht="15.75" customHeight="1">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row>
    <row r="428" spans="1:26" ht="15.75" customHeight="1">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row>
    <row r="429" spans="1:26" ht="15.75" customHeight="1">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row>
    <row r="430" spans="1:26" ht="15.75" customHeight="1">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row>
    <row r="431" spans="1:26" ht="15.75" customHeight="1">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row>
    <row r="432" spans="1:26" ht="15.75" customHeight="1">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row>
    <row r="433" spans="1:26" ht="15.75" customHeight="1">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row>
    <row r="434" spans="1:26" ht="15.75" customHeight="1">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row>
    <row r="435" spans="1:26" ht="15.75" customHeight="1">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row>
    <row r="436" spans="1:26" ht="15.75" customHeight="1">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row>
    <row r="437" spans="1:26" ht="15.75" customHeight="1">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row>
    <row r="438" spans="1:26" ht="15.75" customHeight="1">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row>
    <row r="439" spans="1:26" ht="15.75" customHeight="1">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row>
    <row r="440" spans="1:26" ht="15.75" customHeight="1">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row>
    <row r="441" spans="1:26" ht="15.75" customHeight="1">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row>
    <row r="442" spans="1:26" ht="15.75" customHeight="1">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row>
    <row r="443" spans="1:26" ht="15.75" customHeight="1">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row>
    <row r="444" spans="1:26" ht="15.75" customHeight="1">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row>
    <row r="445" spans="1:26" ht="15.75" customHeight="1">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row>
    <row r="446" spans="1:26" ht="15.75" customHeight="1">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row>
    <row r="447" spans="1:26" ht="15.75" customHeight="1">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row>
    <row r="448" spans="1:26" ht="15.75" customHeight="1">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row>
    <row r="449" spans="1:26" ht="15.75" customHeight="1">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row>
    <row r="450" spans="1:26" ht="15.75" customHeight="1">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row>
    <row r="451" spans="1:26" ht="15.75" customHeight="1">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row>
    <row r="452" spans="1:26" ht="15.75" customHeight="1">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row>
    <row r="453" spans="1:26" ht="15.75" customHeight="1">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row>
    <row r="454" spans="1:26" ht="15.75" customHeight="1">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row>
    <row r="455" spans="1:26" ht="15.75" customHeight="1">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row>
    <row r="456" spans="1:26" ht="15.75" customHeight="1">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row>
    <row r="457" spans="1:26" ht="15.75" customHeight="1">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row>
    <row r="458" spans="1:26" ht="15.75" customHeight="1">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row>
    <row r="459" spans="1:26" ht="15.75" customHeight="1">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row>
    <row r="460" spans="1:26" ht="15.75" customHeight="1">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row>
    <row r="461" spans="1:26" ht="15.75" customHeight="1">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row>
    <row r="462" spans="1:26" ht="15.75" customHeight="1">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row>
    <row r="463" spans="1:26" ht="15.75" customHeight="1">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row>
    <row r="464" spans="1:26" ht="15.75" customHeight="1">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row>
    <row r="465" spans="1:26" ht="15.75" customHeight="1">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row>
    <row r="466" spans="1:26" ht="15.75" customHeight="1">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row>
    <row r="467" spans="1:26" ht="15.75" customHeight="1">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row>
    <row r="468" spans="1:26" ht="15.75" customHeight="1">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row>
    <row r="469" spans="1:26" ht="15.75" customHeight="1">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row>
    <row r="470" spans="1:26" ht="15.75" customHeight="1">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row>
    <row r="471" spans="1:26" ht="15.75" customHeight="1">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row>
    <row r="472" spans="1:26" ht="15.75" customHeight="1">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row>
    <row r="473" spans="1:26" ht="15.75" customHeight="1">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row>
    <row r="474" spans="1:26" ht="15.75" customHeight="1">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row>
    <row r="475" spans="1:26" ht="15.75" customHeight="1">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row>
    <row r="476" spans="1:26" ht="15.75" customHeight="1">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row>
    <row r="477" spans="1:26" ht="15.75" customHeight="1">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row>
    <row r="478" spans="1:26" ht="15.75" customHeight="1">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row>
    <row r="479" spans="1:26" ht="15.75" customHeight="1">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row>
    <row r="480" spans="1:26" ht="15.75" customHeight="1">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row>
    <row r="481" spans="1:26" ht="15.75" customHeight="1">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row>
    <row r="482" spans="1:26" ht="15.75" customHeight="1">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row>
    <row r="483" spans="1:26" ht="15.75" customHeight="1">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row>
    <row r="484" spans="1:26" ht="15.75" customHeight="1">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row>
    <row r="485" spans="1:26" ht="15.75" customHeight="1">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row>
    <row r="486" spans="1:26" ht="15.75" customHeight="1">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row>
    <row r="487" spans="1:26" ht="15.75" customHeight="1">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row>
    <row r="488" spans="1:26" ht="15.75" customHeight="1">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row>
    <row r="489" spans="1:26" ht="15.75" customHeight="1">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row>
    <row r="490" spans="1:26" ht="15.75" customHeight="1">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row>
    <row r="491" spans="1:26" ht="15.75" customHeight="1">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row>
    <row r="492" spans="1:26" ht="15.75" customHeight="1">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row>
    <row r="493" spans="1:26" ht="15.75" customHeight="1">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row>
    <row r="494" spans="1:26" ht="15.75" customHeight="1">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row>
    <row r="495" spans="1:26" ht="15.75" customHeight="1">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row>
    <row r="496" spans="1:26" ht="15.75" customHeight="1">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row>
    <row r="497" spans="1:26" ht="15.75" customHeight="1">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row>
    <row r="498" spans="1:26" ht="15.75" customHeight="1">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row>
    <row r="499" spans="1:26" ht="15.75" customHeight="1">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row>
    <row r="500" spans="1:26" ht="15.75" customHeight="1">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row>
    <row r="501" spans="1:26" ht="15.75" customHeight="1">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row>
    <row r="502" spans="1:26" ht="15.75" customHeight="1">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row>
    <row r="503" spans="1:26" ht="15.75" customHeight="1">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row>
    <row r="504" spans="1:26" ht="15.75" customHeight="1">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row>
    <row r="505" spans="1:26" ht="15.75" customHeight="1">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row>
    <row r="506" spans="1:26" ht="15.75" customHeight="1">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row>
    <row r="507" spans="1:26" ht="15.75" customHeight="1">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row>
    <row r="508" spans="1:26" ht="15.75" customHeight="1">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row>
    <row r="509" spans="1:26" ht="15.75" customHeight="1">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row>
    <row r="510" spans="1:26" ht="15.75" customHeight="1">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row>
    <row r="511" spans="1:26" ht="15.75" customHeight="1">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row>
    <row r="512" spans="1:26" ht="15.75" customHeight="1">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row>
    <row r="513" spans="1:26" ht="15.75" customHeight="1">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row>
    <row r="514" spans="1:26" ht="15.75" customHeight="1">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row>
    <row r="515" spans="1:26" ht="15.75" customHeight="1">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row>
    <row r="516" spans="1:26" ht="15.75" customHeight="1">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row>
    <row r="517" spans="1:26" ht="15.75" customHeight="1">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row>
    <row r="518" spans="1:26" ht="15.75" customHeight="1">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row>
    <row r="519" spans="1:26" ht="15.75" customHeight="1">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row>
    <row r="520" spans="1:26" ht="15.75" customHeight="1">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row>
    <row r="521" spans="1:26" ht="15.75" customHeight="1">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row>
    <row r="522" spans="1:26" ht="15.75" customHeight="1">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row>
    <row r="523" spans="1:26" ht="15.75" customHeight="1">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row>
    <row r="524" spans="1:26" ht="15.75" customHeight="1">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row>
    <row r="525" spans="1:26" ht="15.75" customHeight="1">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row>
    <row r="526" spans="1:26" ht="15.75" customHeight="1">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row>
    <row r="527" spans="1:26" ht="15.75" customHeight="1">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row>
    <row r="528" spans="1:26" ht="15.75" customHeight="1">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row>
    <row r="529" spans="1:26" ht="15.75" customHeight="1">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row>
    <row r="530" spans="1:26" ht="15.75" customHeight="1">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row>
    <row r="531" spans="1:26" ht="15.75" customHeight="1">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row>
    <row r="532" spans="1:26" ht="15.75" customHeight="1">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row>
    <row r="533" spans="1:26" ht="15.75" customHeight="1">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row>
    <row r="534" spans="1:26" ht="15.75" customHeight="1">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row>
    <row r="535" spans="1:26" ht="15.75" customHeight="1">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row>
    <row r="536" spans="1:26" ht="15.75" customHeight="1">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row>
    <row r="537" spans="1:26" ht="15.75" customHeight="1">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row>
    <row r="538" spans="1:26" ht="15.75" customHeight="1">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row>
    <row r="539" spans="1:26" ht="15.75" customHeight="1">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row>
    <row r="540" spans="1:26" ht="15.75" customHeight="1">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row>
    <row r="541" spans="1:26" ht="15.75" customHeight="1">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row>
    <row r="542" spans="1:26" ht="15.75" customHeight="1">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row>
    <row r="543" spans="1:26" ht="15.75" customHeight="1">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row>
    <row r="544" spans="1:26" ht="15.75" customHeight="1">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row>
    <row r="545" spans="1:26" ht="15.75" customHeight="1">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row>
    <row r="546" spans="1:26" ht="15.75" customHeight="1">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row>
    <row r="547" spans="1:26" ht="15.75" customHeight="1">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row>
    <row r="548" spans="1:26" ht="15.75" customHeight="1">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row>
    <row r="549" spans="1:26" ht="15.75" customHeight="1">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row>
    <row r="550" spans="1:26" ht="15.75" customHeight="1">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row>
    <row r="551" spans="1:26" ht="15.75" customHeight="1">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row>
    <row r="552" spans="1:26" ht="15.75" customHeight="1">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row>
    <row r="553" spans="1:26" ht="15.75" customHeight="1">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row>
    <row r="554" spans="1:26" ht="15.75" customHeight="1">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row>
    <row r="555" spans="1:26" ht="15.75" customHeight="1">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row>
    <row r="556" spans="1:26" ht="15.75" customHeight="1">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row>
    <row r="557" spans="1:26" ht="15.75" customHeight="1">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row>
    <row r="558" spans="1:26" ht="15.75" customHeight="1">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row>
    <row r="559" spans="1:26" ht="15.75" customHeight="1">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row>
    <row r="560" spans="1:26" ht="15.75" customHeight="1">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row>
    <row r="561" spans="1:26" ht="15.75" customHeight="1">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row>
    <row r="562" spans="1:26" ht="15.75" customHeight="1">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row>
    <row r="563" spans="1:26" ht="15.75" customHeight="1">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row>
    <row r="564" spans="1:26" ht="15.75" customHeight="1">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row>
    <row r="565" spans="1:26" ht="15.75" customHeight="1">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row>
    <row r="566" spans="1:26" ht="15.75" customHeight="1">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row>
    <row r="567" spans="1:26" ht="15.75" customHeight="1">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row>
    <row r="568" spans="1:26" ht="15.75" customHeight="1">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row>
    <row r="569" spans="1:26" ht="15.75" customHeight="1">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row>
    <row r="570" spans="1:26" ht="15.75" customHeight="1">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row>
    <row r="571" spans="1:26" ht="15.75" customHeight="1">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row>
    <row r="572" spans="1:26" ht="15.75" customHeight="1">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row>
    <row r="573" spans="1:26" ht="15.75" customHeight="1">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row>
    <row r="574" spans="1:26" ht="15.75" customHeight="1">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row>
    <row r="575" spans="1:26" ht="15.75" customHeight="1">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row>
    <row r="576" spans="1:26" ht="15.75" customHeight="1">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row>
    <row r="577" spans="1:26" ht="15.75" customHeight="1">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row>
    <row r="578" spans="1:26" ht="15.75" customHeight="1">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row>
    <row r="579" spans="1:26" ht="15.75" customHeight="1">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row>
    <row r="580" spans="1:26" ht="15.75" customHeight="1">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row>
    <row r="581" spans="1:26" ht="15.75" customHeight="1">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row>
    <row r="582" spans="1:26" ht="15.75" customHeight="1">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row>
    <row r="583" spans="1:26" ht="15.75" customHeight="1">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row>
    <row r="584" spans="1:26" ht="15.75" customHeight="1">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row>
    <row r="585" spans="1:26" ht="15.75" customHeight="1">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row>
    <row r="586" spans="1:26" ht="15.75" customHeight="1">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row>
    <row r="587" spans="1:26" ht="15.75" customHeight="1">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row>
    <row r="588" spans="1:26" ht="15.75" customHeight="1">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row>
    <row r="589" spans="1:26" ht="15.75" customHeight="1">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row>
    <row r="590" spans="1:26" ht="15.75" customHeight="1">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row>
    <row r="591" spans="1:26" ht="15.75" customHeight="1">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row>
    <row r="592" spans="1:26" ht="15.75" customHeight="1">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row>
    <row r="593" spans="1:26" ht="15.75" customHeight="1">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row>
    <row r="594" spans="1:26" ht="15.75" customHeight="1">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row>
    <row r="595" spans="1:26" ht="15.75" customHeight="1">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row>
    <row r="596" spans="1:26" ht="15.75" customHeight="1">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row>
    <row r="597" spans="1:26" ht="15.75" customHeight="1">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row>
    <row r="598" spans="1:26" ht="15.75" customHeight="1">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row>
    <row r="599" spans="1:26" ht="15.75" customHeight="1">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row>
    <row r="600" spans="1:26" ht="15.75" customHeight="1">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row>
    <row r="601" spans="1:26" ht="15.75" customHeight="1">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row>
    <row r="602" spans="1:26" ht="15.75" customHeight="1">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row>
    <row r="603" spans="1:26" ht="15.75" customHeight="1">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row>
    <row r="604" spans="1:26" ht="15.75" customHeight="1">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row>
    <row r="605" spans="1:26" ht="15.75" customHeight="1">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row>
    <row r="606" spans="1:26" ht="15.75" customHeight="1">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row>
    <row r="607" spans="1:26" ht="15.75" customHeight="1">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row>
    <row r="608" spans="1:26" ht="15.75" customHeight="1">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row>
    <row r="609" spans="1:26" ht="15.75" customHeight="1">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row>
    <row r="610" spans="1:26" ht="15.75" customHeight="1">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row>
    <row r="611" spans="1:26" ht="15.75" customHeight="1">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row>
    <row r="612" spans="1:26" ht="15.75" customHeight="1">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row>
    <row r="613" spans="1:26" ht="15.75" customHeight="1">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row>
    <row r="614" spans="1:26" ht="15.75" customHeight="1">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row>
    <row r="615" spans="1:26" ht="15.75" customHeight="1">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row>
    <row r="616" spans="1:26" ht="15.75" customHeight="1">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row>
    <row r="617" spans="1:26" ht="15.75" customHeight="1">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row>
    <row r="618" spans="1:26" ht="15.75" customHeight="1">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row>
    <row r="619" spans="1:26" ht="15.75" customHeight="1">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row>
    <row r="620" spans="1:26" ht="15.75" customHeight="1">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row>
    <row r="621" spans="1:26" ht="15.75" customHeight="1">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row>
    <row r="622" spans="1:26" ht="15.75" customHeight="1">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row>
    <row r="623" spans="1:26" ht="15.75" customHeight="1">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row>
    <row r="624" spans="1:26" ht="15.75" customHeight="1">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row>
    <row r="625" spans="1:26" ht="15.75" customHeight="1">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row>
    <row r="626" spans="1:26" ht="15.75" customHeight="1">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row>
    <row r="627" spans="1:26" ht="15.75" customHeight="1">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row>
    <row r="628" spans="1:26" ht="15.75" customHeight="1">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row>
    <row r="629" spans="1:26" ht="15.75" customHeight="1">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row>
    <row r="630" spans="1:26" ht="15.75" customHeight="1">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row>
    <row r="631" spans="1:26" ht="15.75" customHeight="1">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row>
    <row r="632" spans="1:26" ht="15.75" customHeight="1">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row>
    <row r="633" spans="1:26" ht="15.75" customHeight="1">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row>
    <row r="634" spans="1:26" ht="15.75" customHeight="1">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row>
    <row r="635" spans="1:26" ht="15.75" customHeight="1">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row>
    <row r="636" spans="1:26" ht="15.75" customHeight="1">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row>
    <row r="637" spans="1:26" ht="15.75" customHeight="1">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row>
    <row r="638" spans="1:26" ht="15.75" customHeight="1">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row>
    <row r="639" spans="1:26" ht="15.75" customHeight="1">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row>
    <row r="640" spans="1:26" ht="15.75" customHeight="1">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row>
    <row r="641" spans="1:26" ht="15.75" customHeight="1">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row>
    <row r="642" spans="1:26" ht="15.75" customHeight="1">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row>
    <row r="643" spans="1:26" ht="15.75" customHeight="1">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row>
    <row r="644" spans="1:26" ht="15.75" customHeight="1">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row>
    <row r="645" spans="1:26" ht="15.75" customHeight="1">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row>
    <row r="646" spans="1:26" ht="15.75" customHeight="1">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row>
    <row r="647" spans="1:26" ht="15.75" customHeight="1">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row>
    <row r="648" spans="1:26" ht="15.75" customHeight="1">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row>
    <row r="649" spans="1:26" ht="15.75" customHeight="1">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row>
    <row r="650" spans="1:26" ht="15.75" customHeight="1">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row>
    <row r="651" spans="1:26" ht="15.75" customHeight="1">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row>
    <row r="652" spans="1:26" ht="15.75" customHeight="1">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row>
    <row r="653" spans="1:26" ht="15.75" customHeight="1">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row>
    <row r="654" spans="1:26" ht="15.75" customHeight="1">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row>
    <row r="655" spans="1:26" ht="15.75" customHeight="1">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row>
    <row r="656" spans="1:26" ht="15.75" customHeight="1">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row>
    <row r="657" spans="1:26" ht="15.75" customHeight="1">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row>
    <row r="658" spans="1:26" ht="15.75" customHeight="1">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row>
    <row r="659" spans="1:26" ht="15.75" customHeight="1">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row>
    <row r="660" spans="1:26" ht="15.75" customHeight="1">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row>
    <row r="661" spans="1:26" ht="15.75" customHeight="1">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row>
    <row r="662" spans="1:26" ht="15.75" customHeight="1">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row>
    <row r="663" spans="1:26" ht="15.75" customHeight="1">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row>
    <row r="664" spans="1:26" ht="15.75" customHeight="1">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row>
    <row r="665" spans="1:26" ht="15.75" customHeight="1">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row>
    <row r="666" spans="1:26" ht="15.75" customHeight="1">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row>
    <row r="667" spans="1:26" ht="15.75" customHeight="1">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row>
    <row r="668" spans="1:26" ht="15.75" customHeight="1">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row>
    <row r="669" spans="1:26" ht="15.75" customHeight="1">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row>
    <row r="670" spans="1:26" ht="15.75" customHeight="1">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row>
    <row r="671" spans="1:26" ht="15.75" customHeight="1">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row>
    <row r="672" spans="1:26" ht="15.75" customHeight="1">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row>
    <row r="673" spans="1:26" ht="15.75" customHeight="1">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row>
    <row r="674" spans="1:26" ht="15.75" customHeight="1">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row>
    <row r="675" spans="1:26" ht="15.75" customHeight="1">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row>
    <row r="676" spans="1:26" ht="15.75" customHeight="1">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row>
    <row r="677" spans="1:26" ht="15.75" customHeight="1">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row>
    <row r="678" spans="1:26" ht="15.75" customHeight="1">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row>
    <row r="679" spans="1:26" ht="15.75" customHeight="1">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row>
    <row r="680" spans="1:26" ht="15.75" customHeight="1">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row>
    <row r="681" spans="1:26" ht="15.75" customHeight="1">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row>
    <row r="682" spans="1:26" ht="15.75" customHeight="1">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row>
    <row r="683" spans="1:26" ht="15.75" customHeight="1">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row>
    <row r="684" spans="1:26" ht="15.75" customHeight="1">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row>
    <row r="685" spans="1:26" ht="15.75" customHeight="1">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row>
    <row r="686" spans="1:26" ht="15.75" customHeight="1">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row>
    <row r="687" spans="1:26" ht="15.75" customHeight="1">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row>
    <row r="688" spans="1:26" ht="15.75" customHeight="1">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row>
    <row r="689" spans="1:26" ht="15.75" customHeight="1">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row>
    <row r="690" spans="1:26" ht="15.75" customHeight="1">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row>
    <row r="691" spans="1:26" ht="15.75" customHeight="1">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row>
    <row r="692" spans="1:26" ht="15.75" customHeight="1">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row>
    <row r="693" spans="1:26" ht="15.75" customHeight="1">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row>
    <row r="694" spans="1:26" ht="15.75" customHeight="1">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row>
    <row r="695" spans="1:26" ht="15.75" customHeight="1">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row>
    <row r="696" spans="1:26" ht="15.75" customHeight="1">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row>
    <row r="697" spans="1:26" ht="15.75" customHeight="1">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row>
    <row r="698" spans="1:26" ht="15.75" customHeight="1">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row>
    <row r="699" spans="1:26" ht="15.75" customHeight="1">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row>
    <row r="700" spans="1:26" ht="15.75" customHeight="1">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row>
    <row r="701" spans="1:26" ht="15.75" customHeight="1">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row>
    <row r="702" spans="1:26" ht="15.75" customHeight="1">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row>
    <row r="703" spans="1:26" ht="15.75" customHeight="1">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row>
    <row r="704" spans="1:26" ht="15.75" customHeight="1">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row>
    <row r="705" spans="1:26" ht="15.75" customHeight="1">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row>
    <row r="706" spans="1:26" ht="15.75" customHeight="1">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row>
    <row r="707" spans="1:26" ht="15.75" customHeight="1">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row>
    <row r="708" spans="1:26" ht="15.75" customHeight="1">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row>
    <row r="709" spans="1:26" ht="15.75" customHeight="1">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row>
    <row r="710" spans="1:26" ht="15.75" customHeight="1">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row>
    <row r="711" spans="1:26" ht="15.75" customHeight="1">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row>
    <row r="712" spans="1:26" ht="15.75" customHeight="1">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row>
    <row r="713" spans="1:26" ht="15.75" customHeight="1">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row>
    <row r="714" spans="1:26" ht="15.75" customHeight="1">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row>
    <row r="715" spans="1:26" ht="15.75" customHeight="1">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row>
    <row r="716" spans="1:26" ht="15.75" customHeight="1">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row>
    <row r="717" spans="1:26" ht="15.75" customHeight="1">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row>
    <row r="718" spans="1:26" ht="15.75" customHeight="1">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row>
    <row r="719" spans="1:26" ht="15.75" customHeight="1">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row>
    <row r="720" spans="1:26" ht="15.75" customHeight="1">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row>
    <row r="721" spans="1:26" ht="15.75" customHeight="1">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row>
    <row r="722" spans="1:26" ht="15.75" customHeight="1">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row>
    <row r="723" spans="1:26" ht="15.75" customHeight="1">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row>
    <row r="724" spans="1:26" ht="15.75" customHeight="1">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row>
    <row r="725" spans="1:26" ht="15.75" customHeight="1">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row>
    <row r="726" spans="1:26" ht="15.75" customHeight="1">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row>
    <row r="727" spans="1:26" ht="15.75" customHeight="1">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row>
    <row r="728" spans="1:26" ht="15.75" customHeight="1">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row>
    <row r="729" spans="1:26" ht="15.75" customHeight="1">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row>
    <row r="730" spans="1:26" ht="15.75" customHeight="1">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row>
    <row r="731" spans="1:26" ht="15.75" customHeight="1">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row>
    <row r="732" spans="1:26" ht="15.75" customHeight="1">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row>
    <row r="733" spans="1:26" ht="15.75" customHeight="1">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row>
    <row r="734" spans="1:26" ht="15.75" customHeight="1">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row>
    <row r="735" spans="1:26" ht="15.75" customHeight="1">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row>
    <row r="736" spans="1:26" ht="15.75" customHeight="1">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row>
    <row r="737" spans="1:26" ht="15.75" customHeight="1">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row>
    <row r="738" spans="1:26" ht="15.75" customHeight="1">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row>
    <row r="739" spans="1:26" ht="15.75" customHeight="1">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row>
    <row r="740" spans="1:26" ht="15.75" customHeight="1">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row>
    <row r="741" spans="1:26" ht="15.75" customHeight="1">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row>
    <row r="742" spans="1:26" ht="15.75" customHeight="1">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row>
    <row r="743" spans="1:26" ht="15.75" customHeight="1">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row>
    <row r="744" spans="1:26" ht="15.75" customHeight="1">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row>
    <row r="745" spans="1:26" ht="15.75" customHeight="1">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row>
    <row r="746" spans="1:26" ht="15.75" customHeight="1">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row>
    <row r="747" spans="1:26" ht="15.75" customHeight="1">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row>
    <row r="748" spans="1:26" ht="15.75" customHeight="1">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row>
    <row r="749" spans="1:26" ht="15.75" customHeight="1">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row>
    <row r="750" spans="1:26" ht="15.75" customHeight="1">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row>
    <row r="751" spans="1:26" ht="15.75" customHeight="1">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row>
    <row r="752" spans="1:26" ht="15.75" customHeight="1">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row>
    <row r="753" spans="1:26" ht="15.75" customHeight="1">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row>
    <row r="754" spans="1:26" ht="15.75" customHeight="1">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row>
    <row r="755" spans="1:26" ht="15.75" customHeight="1">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row>
    <row r="756" spans="1:26" ht="15.75" customHeight="1">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row>
    <row r="757" spans="1:26" ht="15.75" customHeight="1">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row>
    <row r="758" spans="1:26" ht="15.75" customHeight="1">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row>
    <row r="759" spans="1:26" ht="15.75" customHeight="1">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row>
    <row r="760" spans="1:26" ht="15.75" customHeight="1">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row>
    <row r="761" spans="1:26" ht="15.75" customHeight="1">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row>
    <row r="762" spans="1:26" ht="15.75" customHeight="1">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row>
    <row r="763" spans="1:26" ht="15.75" customHeight="1">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row>
    <row r="764" spans="1:26" ht="15.75" customHeight="1">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row>
    <row r="765" spans="1:26" ht="15.75" customHeight="1">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row>
    <row r="766" spans="1:26" ht="15.75" customHeight="1">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row>
    <row r="767" spans="1:26" ht="15.75" customHeight="1">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row>
    <row r="768" spans="1:26" ht="15.75" customHeight="1">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row>
    <row r="769" spans="1:26" ht="15.75" customHeight="1">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row>
    <row r="770" spans="1:26" ht="15.75" customHeight="1">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row>
    <row r="771" spans="1:26" ht="15.75" customHeight="1">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row>
    <row r="772" spans="1:26" ht="15.75" customHeight="1">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row>
    <row r="773" spans="1:26" ht="15.75" customHeight="1">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row>
    <row r="774" spans="1:26" ht="15.75" customHeight="1">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row>
    <row r="775" spans="1:26" ht="15.75" customHeight="1">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row>
    <row r="776" spans="1:26" ht="15.75" customHeight="1">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row>
    <row r="777" spans="1:26" ht="15.75" customHeight="1">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row>
    <row r="778" spans="1:26" ht="15.75" customHeight="1">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row>
    <row r="779" spans="1:26" ht="15.75" customHeight="1">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row>
    <row r="780" spans="1:26" ht="15.75" customHeight="1">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row>
    <row r="781" spans="1:26" ht="15.75" customHeight="1">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row>
    <row r="782" spans="1:26" ht="15.75" customHeight="1">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row>
    <row r="783" spans="1:26" ht="15.75" customHeight="1">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row>
    <row r="784" spans="1:26" ht="15.75" customHeight="1">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row>
    <row r="785" spans="1:26" ht="15.75" customHeight="1">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row>
    <row r="786" spans="1:26" ht="15.75" customHeight="1">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row>
    <row r="787" spans="1:26" ht="15.75" customHeight="1">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row>
    <row r="788" spans="1:26" ht="15.75" customHeight="1">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row>
    <row r="789" spans="1:26" ht="15.75" customHeight="1">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row>
    <row r="790" spans="1:26" ht="15.75" customHeight="1">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row>
    <row r="791" spans="1:26" ht="15.75" customHeight="1">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row>
    <row r="792" spans="1:26" ht="15.75" customHeight="1">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row>
    <row r="793" spans="1:26" ht="15.75" customHeight="1">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row>
    <row r="794" spans="1:26" ht="15.75" customHeight="1">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row>
    <row r="795" spans="1:26" ht="15.75" customHeight="1">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row>
    <row r="796" spans="1:26" ht="15.75" customHeight="1">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row>
    <row r="797" spans="1:26" ht="15.75" customHeight="1">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row>
    <row r="798" spans="1:26" ht="15.75" customHeight="1">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row>
    <row r="799" spans="1:26" ht="15.75" customHeight="1">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row>
    <row r="800" spans="1:26" ht="15.75" customHeight="1">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row>
    <row r="801" spans="1:26" ht="15.75" customHeight="1">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row>
    <row r="802" spans="1:26" ht="15.75" customHeight="1">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row>
    <row r="803" spans="1:26" ht="15.75" customHeight="1">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row>
    <row r="804" spans="1:26" ht="15.75" customHeight="1">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row>
    <row r="805" spans="1:26" ht="15.75" customHeight="1">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row>
    <row r="806" spans="1:26" ht="15.75" customHeight="1">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row>
    <row r="807" spans="1:26" ht="15.75" customHeight="1">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row>
    <row r="808" spans="1:26" ht="15.75" customHeight="1">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row>
    <row r="809" spans="1:26" ht="15.75" customHeight="1">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row>
    <row r="810" spans="1:26" ht="15.75" customHeight="1">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row>
    <row r="811" spans="1:26" ht="15.75" customHeight="1">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row>
    <row r="812" spans="1:26" ht="15.75" customHeight="1">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row>
    <row r="813" spans="1:26" ht="15.75" customHeight="1">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row>
    <row r="814" spans="1:26" ht="15.75" customHeight="1">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row>
    <row r="815" spans="1:26" ht="15.75" customHeight="1">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row>
    <row r="816" spans="1:26" ht="15.75" customHeight="1">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row>
    <row r="817" spans="1:26" ht="15.75" customHeight="1">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row>
    <row r="818" spans="1:26" ht="15.75" customHeight="1">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row>
    <row r="819" spans="1:26" ht="15.75" customHeight="1">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row>
    <row r="820" spans="1:26" ht="15.75" customHeight="1">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row>
    <row r="821" spans="1:26" ht="15.75" customHeight="1">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row>
    <row r="822" spans="1:26" ht="15.75" customHeight="1">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row>
    <row r="823" spans="1:26" ht="15.75" customHeight="1">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row>
    <row r="824" spans="1:26" ht="15.75" customHeight="1">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row>
    <row r="825" spans="1:26" ht="15.75" customHeight="1">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row>
    <row r="826" spans="1:26" ht="15.75" customHeight="1">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row>
    <row r="827" spans="1:26" ht="15.75" customHeight="1">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row>
    <row r="828" spans="1:26" ht="15.75" customHeight="1">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row>
    <row r="829" spans="1:26" ht="15.75" customHeight="1">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row>
    <row r="830" spans="1:26" ht="15.75" customHeight="1">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row>
    <row r="831" spans="1:26" ht="15.75" customHeight="1">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row>
    <row r="832" spans="1:26" ht="15.75" customHeight="1">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row>
    <row r="833" spans="1:26" ht="15.75" customHeight="1">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row>
    <row r="834" spans="1:26" ht="15.75" customHeight="1">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row>
    <row r="835" spans="1:26" ht="15.75" customHeight="1">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row>
    <row r="836" spans="1:26" ht="15.75" customHeight="1">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row>
    <row r="837" spans="1:26" ht="15.75" customHeight="1">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row>
    <row r="838" spans="1:26" ht="15.75" customHeight="1">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row>
    <row r="839" spans="1:26" ht="15.75" customHeight="1">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row>
    <row r="840" spans="1:26" ht="15.75" customHeight="1">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row>
    <row r="841" spans="1:26" ht="15.75" customHeight="1">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row>
    <row r="842" spans="1:26" ht="15.75" customHeight="1">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row>
    <row r="843" spans="1:26" ht="15.75" customHeight="1">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row>
    <row r="844" spans="1:26" ht="15.75" customHeight="1">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row>
    <row r="845" spans="1:26" ht="15.75" customHeight="1">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row>
    <row r="846" spans="1:26" ht="15.75" customHeight="1">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row>
    <row r="847" spans="1:26" ht="15.75" customHeight="1">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row>
    <row r="848" spans="1:26" ht="15.75" customHeight="1">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row>
    <row r="849" spans="1:26" ht="15.75" customHeight="1">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row>
    <row r="850" spans="1:26" ht="15.75" customHeight="1">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row>
    <row r="851" spans="1:26" ht="15.75" customHeight="1">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row>
    <row r="852" spans="1:26" ht="15.75" customHeight="1">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row>
    <row r="853" spans="1:26" ht="15.75" customHeight="1">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row>
    <row r="854" spans="1:26" ht="15.75" customHeight="1">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row>
    <row r="855" spans="1:26" ht="15.75" customHeight="1">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row>
    <row r="856" spans="1:26" ht="15.75" customHeight="1">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row>
    <row r="857" spans="1:26" ht="15.75" customHeight="1">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row>
    <row r="858" spans="1:26" ht="15.75" customHeight="1">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row>
    <row r="859" spans="1:26" ht="15.75" customHeight="1">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row>
    <row r="860" spans="1:26" ht="15.75" customHeight="1">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row>
    <row r="861" spans="1:26" ht="15.75" customHeight="1">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row>
    <row r="862" spans="1:26" ht="15.75" customHeight="1">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row>
    <row r="863" spans="1:26" ht="15.75" customHeight="1">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row>
    <row r="864" spans="1:26" ht="15.75" customHeight="1">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row>
    <row r="865" spans="1:26" ht="15.75" customHeight="1">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row>
    <row r="866" spans="1:26" ht="15.75" customHeight="1">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row>
    <row r="867" spans="1:26" ht="15.75" customHeight="1">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row>
    <row r="868" spans="1:26" ht="15.75" customHeight="1">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row>
    <row r="869" spans="1:26" ht="15.75" customHeight="1">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row>
    <row r="870" spans="1:26" ht="15.75" customHeight="1">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row>
    <row r="871" spans="1:26" ht="15.75" customHeight="1">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row>
    <row r="872" spans="1:26" ht="15.75" customHeight="1">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row>
    <row r="873" spans="1:26" ht="15.75" customHeight="1">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row>
    <row r="874" spans="1:26" ht="15.75" customHeight="1">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row>
    <row r="875" spans="1:26" ht="15.75" customHeight="1">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row>
    <row r="876" spans="1:26" ht="15.75" customHeight="1">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row>
    <row r="877" spans="1:26" ht="15.75" customHeight="1">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row>
    <row r="878" spans="1:26" ht="15.75" customHeight="1">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row>
    <row r="879" spans="1:26" ht="15.75" customHeight="1">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row>
    <row r="880" spans="1:26" ht="15.75" customHeight="1">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row>
    <row r="881" spans="1:26" ht="15.75" customHeight="1">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row>
    <row r="882" spans="1:26" ht="15.75" customHeight="1">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row>
    <row r="883" spans="1:26" ht="15.75" customHeight="1">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row>
    <row r="884" spans="1:26" ht="15.75" customHeight="1">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row>
    <row r="885" spans="1:26" ht="15.75" customHeight="1">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row>
    <row r="886" spans="1:26" ht="15.75" customHeight="1">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row>
    <row r="887" spans="1:26" ht="15.75" customHeight="1">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row>
    <row r="888" spans="1:26" ht="15.75" customHeight="1">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row>
    <row r="889" spans="1:26" ht="15.75" customHeight="1">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row>
    <row r="890" spans="1:26" ht="15.75" customHeight="1">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row>
    <row r="891" spans="1:26" ht="15.75" customHeight="1">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row>
    <row r="892" spans="1:26" ht="15.75" customHeight="1">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row>
    <row r="893" spans="1:26" ht="15.75" customHeight="1">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row>
    <row r="894" spans="1:26" ht="15.75" customHeight="1">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row>
    <row r="895" spans="1:26" ht="15.75" customHeight="1">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row>
    <row r="896" spans="1:26" ht="15.75" customHeight="1">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row>
    <row r="897" spans="1:26" ht="15.75" customHeight="1">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row>
    <row r="898" spans="1:26" ht="15.75" customHeight="1">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row>
    <row r="899" spans="1:26" ht="15.75" customHeight="1">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row>
    <row r="900" spans="1:26" ht="15.75" customHeight="1">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row>
    <row r="901" spans="1:26" ht="15.75" customHeight="1">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row>
    <row r="902" spans="1:26" ht="15.75" customHeight="1">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row>
    <row r="903" spans="1:26" ht="15.75" customHeight="1">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row>
    <row r="904" spans="1:26" ht="15.75" customHeight="1">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row>
    <row r="905" spans="1:26" ht="15.75" customHeight="1">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row>
    <row r="906" spans="1:26" ht="15.75" customHeight="1">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row>
    <row r="907" spans="1:26" ht="15.75" customHeight="1">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row>
    <row r="908" spans="1:26" ht="15.75" customHeight="1">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row>
    <row r="909" spans="1:26" ht="15.75" customHeight="1">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row>
    <row r="910" spans="1:26" ht="15.75" customHeight="1">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row>
    <row r="911" spans="1:26" ht="15.75" customHeight="1">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row>
    <row r="912" spans="1:26" ht="15.75" customHeight="1">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row>
    <row r="913" spans="1:26" ht="15.75" customHeight="1">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row>
    <row r="914" spans="1:26" ht="15.75" customHeight="1">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row>
    <row r="915" spans="1:26" ht="15.75" customHeight="1">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row>
    <row r="916" spans="1:26" ht="15.75" customHeight="1">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row>
    <row r="917" spans="1:26" ht="15.75" customHeight="1">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row>
    <row r="918" spans="1:26" ht="15.75" customHeight="1">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row>
    <row r="919" spans="1:26" ht="15.75" customHeight="1">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row>
    <row r="920" spans="1:26" ht="15.75" customHeight="1">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row>
    <row r="921" spans="1:26" ht="15.75" customHeight="1">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row>
    <row r="922" spans="1:26" ht="15.75" customHeight="1">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row>
    <row r="923" spans="1:26" ht="15.75" customHeight="1">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row>
    <row r="924" spans="1:26" ht="15.75" customHeight="1">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row>
    <row r="925" spans="1:26" ht="15.75" customHeight="1">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row>
    <row r="926" spans="1:26" ht="15.75" customHeight="1">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row>
    <row r="927" spans="1:26" ht="15.75" customHeight="1">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row>
    <row r="928" spans="1:26" ht="15.75" customHeight="1">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row>
    <row r="929" spans="1:26" ht="15.75" customHeight="1">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row>
    <row r="930" spans="1:26" ht="15.75" customHeight="1">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row>
    <row r="931" spans="1:26" ht="15.75" customHeight="1">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row>
    <row r="932" spans="1:26" ht="15.75" customHeight="1">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row>
    <row r="933" spans="1:26" ht="15.75" customHeight="1">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row>
    <row r="934" spans="1:26" ht="15.75" customHeight="1">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row>
    <row r="935" spans="1:26" ht="15.75" customHeight="1">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row>
    <row r="936" spans="1:26" ht="15.75" customHeight="1">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row>
    <row r="937" spans="1:26" ht="15.75" customHeight="1">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row>
    <row r="938" spans="1:26" ht="15.75" customHeight="1">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row>
    <row r="939" spans="1:26" ht="15.75" customHeight="1">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row>
    <row r="940" spans="1:26" ht="15.75" customHeight="1">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row>
    <row r="941" spans="1:26" ht="15.75" customHeight="1">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row>
    <row r="942" spans="1:26" ht="15.75" customHeight="1">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row>
    <row r="943" spans="1:26" ht="15.75" customHeight="1">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row>
    <row r="944" spans="1:26" ht="15.75" customHeight="1">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row>
    <row r="945" spans="1:26" ht="15.75" customHeight="1">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row>
    <row r="946" spans="1:26" ht="15.75" customHeight="1">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row>
    <row r="947" spans="1:26" ht="15.75" customHeight="1">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row>
    <row r="948" spans="1:26" ht="15.75" customHeight="1">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row>
    <row r="949" spans="1:26" ht="15.75" customHeight="1">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row>
    <row r="950" spans="1:26" ht="15.75" customHeight="1">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row>
    <row r="951" spans="1:26" ht="15.75" customHeight="1">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row>
    <row r="952" spans="1:26" ht="15.75" customHeight="1">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row>
    <row r="953" spans="1:26" ht="15.75" customHeight="1">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row>
    <row r="954" spans="1:26" ht="15.75" customHeight="1">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row>
    <row r="955" spans="1:26" ht="15.75" customHeight="1">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row>
    <row r="956" spans="1:26" ht="15.75" customHeight="1">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row>
    <row r="957" spans="1:26" ht="15.75" customHeight="1">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row>
    <row r="958" spans="1:26" ht="15.75" customHeight="1">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row>
    <row r="959" spans="1:26" ht="15.75" customHeight="1">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row>
    <row r="960" spans="1:26" ht="15.75" customHeight="1">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row>
    <row r="961" spans="1:26" ht="15.75" customHeight="1">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row>
    <row r="962" spans="1:26" ht="15.75" customHeight="1">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row>
    <row r="963" spans="1:26" ht="15.75" customHeight="1">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row>
    <row r="964" spans="1:26" ht="15.75" customHeight="1">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row>
    <row r="965" spans="1:26" ht="15.75" customHeight="1">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row>
    <row r="966" spans="1:26" ht="15.75" customHeight="1">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row>
    <row r="967" spans="1:26" ht="15.75" customHeight="1">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row>
    <row r="968" spans="1:26" ht="15.75" customHeight="1">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row>
    <row r="969" spans="1:26" ht="15.75" customHeight="1">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row>
    <row r="970" spans="1:26" ht="15.75" customHeight="1">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row>
    <row r="971" spans="1:26" ht="15.75" customHeight="1">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row>
    <row r="972" spans="1:26" ht="15.75" customHeight="1">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row>
    <row r="973" spans="1:26" ht="15.75" customHeight="1">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row>
    <row r="974" spans="1:26" ht="15.75" customHeight="1">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row>
    <row r="975" spans="1:26" ht="15.75" customHeight="1">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row>
    <row r="976" spans="1:26" ht="15.75" customHeight="1">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row>
    <row r="977" spans="1:26" ht="15.75" customHeight="1">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row>
    <row r="978" spans="1:26" ht="15.75" customHeight="1">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row>
    <row r="979" spans="1:26" ht="15.75" customHeight="1">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row>
    <row r="980" spans="1:26" ht="15.75" customHeight="1">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row>
    <row r="981" spans="1:26" ht="15.75" customHeight="1">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row>
    <row r="982" spans="1:26" ht="15.75" customHeight="1">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row>
    <row r="983" spans="1:26" ht="15.75" customHeight="1">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row>
    <row r="984" spans="1:26" ht="15.75" customHeight="1">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row>
    <row r="985" spans="1:26" ht="15.75" customHeight="1">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row>
    <row r="986" spans="1:26" ht="15.75" customHeight="1">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row>
    <row r="987" spans="1:26" ht="15.75" customHeight="1">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row>
    <row r="988" spans="1:26" ht="15.75" customHeight="1">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row>
    <row r="989" spans="1:26" ht="15.75" customHeight="1">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row>
    <row r="990" spans="1:26" ht="15.75" customHeight="1">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row>
    <row r="991" spans="1:26" ht="15.75" customHeight="1">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row>
    <row r="992" spans="1:26" ht="15.75" customHeight="1">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row>
    <row r="993" spans="1:26" ht="15.75" customHeight="1">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row>
    <row r="994" spans="1:26" ht="15.75" customHeight="1">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row>
    <row r="995" spans="1:26" ht="15.75" customHeight="1">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row>
    <row r="996" spans="1:26" ht="15.75" customHeight="1">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row>
    <row r="997" spans="1:26" ht="15.75" customHeight="1">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row>
    <row r="998" spans="1:26" ht="15.75" customHeight="1">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row>
    <row r="999" spans="1:26" ht="15.75" customHeight="1">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row>
    <row r="1000" spans="1:26" ht="15.75" customHeight="1">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row>
  </sheetData>
  <mergeCells count="1">
    <mergeCell ref="A234:G234"/>
  </mergeCells>
  <hyperlinks>
    <hyperlink ref="F148" r:id="rId1" xr:uid="{00000000-0004-0000-0300-000000000000}"/>
  </hyperlink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000"/>
  <sheetViews>
    <sheetView zoomScale="75" zoomScaleNormal="75" workbookViewId="0">
      <selection activeCell="I128" sqref="I128"/>
    </sheetView>
  </sheetViews>
  <sheetFormatPr baseColWidth="10" defaultColWidth="10.28515625" defaultRowHeight="15" customHeight="1"/>
  <cols>
    <col min="1" max="2" width="30.140625" customWidth="1"/>
    <col min="3" max="3" width="31" customWidth="1"/>
    <col min="4" max="4" width="9.42578125" customWidth="1"/>
    <col min="6" max="6" width="61.7109375" customWidth="1"/>
    <col min="7" max="7" width="28.5703125" customWidth="1"/>
    <col min="8" max="8" width="24.42578125" customWidth="1"/>
    <col min="9" max="9" width="30.140625" customWidth="1"/>
    <col min="10" max="10" width="21.85546875" customWidth="1"/>
    <col min="11" max="11" width="22" customWidth="1"/>
    <col min="12" max="12" width="57.85546875" customWidth="1"/>
    <col min="13" max="13" width="24.7109375" customWidth="1"/>
    <col min="14" max="14" width="9.42578125" customWidth="1"/>
    <col min="15" max="15" width="36.28515625" customWidth="1"/>
    <col min="16" max="28" width="9.42578125" customWidth="1"/>
  </cols>
  <sheetData>
    <row r="1" spans="1:11" ht="15.75" customHeight="1">
      <c r="A1" s="16" t="s">
        <v>268</v>
      </c>
      <c r="F1" s="16" t="s">
        <v>856</v>
      </c>
      <c r="J1" s="16" t="s">
        <v>857</v>
      </c>
      <c r="K1" s="17">
        <f ca="1">YEAR(TODAY())</f>
        <v>2025</v>
      </c>
    </row>
    <row r="2" spans="1:11" ht="15.75" customHeight="1">
      <c r="A2" s="17" t="str">
        <f>'Demographic Descriptions'!A3</f>
        <v>BU 1</v>
      </c>
      <c r="B2" s="18">
        <f>COUNTIFS('Tracking Sheet'!$AN$5:$AN$504,A2,'Tracking Sheet'!$AL$5:$AL$504,"active")</f>
        <v>7</v>
      </c>
      <c r="C2" s="29"/>
      <c r="F2" s="26" t="s">
        <v>188</v>
      </c>
      <c r="G2" s="17">
        <f>COUNTIF('Tracking Sheet'!$AL$5:$AL$504,"active")</f>
        <v>21</v>
      </c>
    </row>
    <row r="3" spans="1:11" ht="15.75" customHeight="1">
      <c r="A3" s="17" t="str">
        <f>'Demographic Descriptions'!A4</f>
        <v>BU 2</v>
      </c>
      <c r="B3" s="18">
        <f>COUNTIFS('Tracking Sheet'!$AN$5:$AN$504,A3,'Tracking Sheet'!$AL$5:$AL$504,"active")</f>
        <v>7</v>
      </c>
      <c r="C3" s="29"/>
      <c r="F3" s="26" t="s">
        <v>203</v>
      </c>
      <c r="G3" s="17">
        <f>COUNTIF('Tracking Sheet'!$AL$5:$AL$504,"inactive")</f>
        <v>5</v>
      </c>
    </row>
    <row r="4" spans="1:11" ht="15.75" customHeight="1">
      <c r="A4" s="17" t="str">
        <f>'Demographic Descriptions'!A5</f>
        <v>BU 3</v>
      </c>
      <c r="B4" s="18">
        <f>COUNTIFS('Tracking Sheet'!$AN$5:$AN$504,A4,'Tracking Sheet'!$AL$5:$AL$504,"active")</f>
        <v>7</v>
      </c>
      <c r="C4" s="29"/>
      <c r="F4" s="27"/>
    </row>
    <row r="5" spans="1:11" ht="15.75" customHeight="1">
      <c r="A5" s="17" t="str">
        <f>'Demographic Descriptions'!A6</f>
        <v>BU 4</v>
      </c>
      <c r="B5" s="18">
        <f>COUNTIFS('Tracking Sheet'!$AN$5:$AN$504,A5,'Tracking Sheet'!$AL$5:$AL$504,"active")</f>
        <v>0</v>
      </c>
      <c r="C5" s="29"/>
      <c r="F5" s="28" t="s">
        <v>858</v>
      </c>
    </row>
    <row r="6" spans="1:11" ht="15.75" customHeight="1">
      <c r="A6" s="17" t="str">
        <f>'Demographic Descriptions'!A7</f>
        <v>BU 5</v>
      </c>
      <c r="B6" s="18">
        <f>COUNTIFS('Tracking Sheet'!$AN$5:$AN$504,A6,'Tracking Sheet'!$AL$5:$AL$504,"active")</f>
        <v>0</v>
      </c>
      <c r="C6" s="29"/>
      <c r="F6" s="26" t="s">
        <v>182</v>
      </c>
      <c r="G6" s="17">
        <f>COUNTIFS('Tracking Sheet'!$I$5:$I$504,"yes",'Tracking Sheet'!$AL$5:$AL$504,"active")</f>
        <v>11</v>
      </c>
    </row>
    <row r="7" spans="1:11" ht="15.75" customHeight="1">
      <c r="A7" s="17" t="str">
        <f>'Demographic Descriptions'!A8</f>
        <v>BU 6</v>
      </c>
      <c r="B7" s="18">
        <f>COUNTIFS('Tracking Sheet'!$AN$5:$AN$504,A7,'Tracking Sheet'!$AL$5:$AL$504,"active")</f>
        <v>0</v>
      </c>
      <c r="C7" s="29"/>
      <c r="F7" s="26" t="s">
        <v>200</v>
      </c>
      <c r="G7" s="17">
        <f>COUNTIFS('Tracking Sheet'!$I$5:$I$504,"no",'Tracking Sheet'!$AL$5:$AL$504,"active")</f>
        <v>10</v>
      </c>
    </row>
    <row r="8" spans="1:11" ht="15.75" customHeight="1">
      <c r="A8" s="17" t="str">
        <f>'Demographic Descriptions'!A9</f>
        <v>BU 7</v>
      </c>
      <c r="B8" s="18">
        <f>COUNTIFS('Tracking Sheet'!$AN$5:$AN$504,A8,'Tracking Sheet'!$AL$5:$AL$504,"active")</f>
        <v>0</v>
      </c>
      <c r="C8" s="29"/>
      <c r="F8" s="27"/>
    </row>
    <row r="9" spans="1:11" ht="15.75" customHeight="1">
      <c r="A9" s="17" t="str">
        <f>'Demographic Descriptions'!A10</f>
        <v>BU 8</v>
      </c>
      <c r="B9" s="18">
        <f>COUNTIFS('Tracking Sheet'!$AN$5:$AN$504,A9,'Tracking Sheet'!$AL$5:$AL$504,"active")</f>
        <v>0</v>
      </c>
      <c r="C9" s="29"/>
      <c r="F9" s="28" t="s">
        <v>859</v>
      </c>
    </row>
    <row r="10" spans="1:11" ht="15.75" customHeight="1">
      <c r="A10" s="17" t="str">
        <f>'Demographic Descriptions'!A11</f>
        <v>BU 9</v>
      </c>
      <c r="B10" s="18">
        <f>COUNTIFS('Tracking Sheet'!$AN$5:$AN$504,A10,'Tracking Sheet'!$AL$5:$AL$504,"active")</f>
        <v>0</v>
      </c>
      <c r="C10" s="29"/>
      <c r="F10" s="26" t="s">
        <v>183</v>
      </c>
      <c r="G10" s="17">
        <f>COUNTIFS('Tracking Sheet'!$J$5:$J$504,"married",'Tracking Sheet'!$AL$5:$AL$504,"active")</f>
        <v>7</v>
      </c>
      <c r="H10" s="26" t="str">
        <f>F10</f>
        <v>Married</v>
      </c>
      <c r="I10" s="17">
        <f>IF(G10=0,NA(),G10)</f>
        <v>7</v>
      </c>
    </row>
    <row r="11" spans="1:11" ht="15.75" customHeight="1">
      <c r="A11" s="17" t="str">
        <f>'Demographic Descriptions'!A12</f>
        <v>BU 10</v>
      </c>
      <c r="B11" s="18">
        <f>COUNTIFS('Tracking Sheet'!$AN$5:$AN$504,A11,'Tracking Sheet'!$AL$5:$AL$504,"active")</f>
        <v>0</v>
      </c>
      <c r="C11" s="29"/>
      <c r="F11" s="26" t="s">
        <v>236</v>
      </c>
      <c r="G11" s="17">
        <f>COUNTIFS('Tracking Sheet'!$J$5:$J$504,"widowed",'Tracking Sheet'!$AL$5:$AL$504,"active")</f>
        <v>2</v>
      </c>
      <c r="H11" s="26" t="str">
        <f t="shared" ref="H11:H14" si="0">F11</f>
        <v>Widowed</v>
      </c>
      <c r="I11" s="17">
        <f t="shared" ref="I11:I14" si="1">IF(G11=0,NA(),G11)</f>
        <v>2</v>
      </c>
    </row>
    <row r="12" spans="1:11" ht="15.75" customHeight="1">
      <c r="A12" s="17" t="str">
        <f>'Demographic Descriptions'!A13</f>
        <v>BU 11</v>
      </c>
      <c r="B12" s="18">
        <f>COUNTIFS('Tracking Sheet'!$AN$5:$AN$504,A12,'Tracking Sheet'!$AL$5:$AL$504,"active")</f>
        <v>0</v>
      </c>
      <c r="C12" s="29"/>
      <c r="F12" s="26" t="s">
        <v>254</v>
      </c>
      <c r="G12" s="17">
        <f>COUNTIFS('Tracking Sheet'!$J$5:$J$504,"separated",'Tracking Sheet'!$AL$5:$AL$504,"active")</f>
        <v>0</v>
      </c>
      <c r="H12" s="26" t="str">
        <f t="shared" si="0"/>
        <v>Separated</v>
      </c>
      <c r="I12" s="17" t="e">
        <f t="shared" si="1"/>
        <v>#N/A</v>
      </c>
    </row>
    <row r="13" spans="1:11" ht="15.75" customHeight="1">
      <c r="A13" s="17" t="str">
        <f>'Demographic Descriptions'!A14</f>
        <v>BU 12</v>
      </c>
      <c r="B13" s="18">
        <f>COUNTIFS('Tracking Sheet'!$AN$5:$AN$504,A13,'Tracking Sheet'!$AL$5:$AL$504,"active")</f>
        <v>0</v>
      </c>
      <c r="C13" s="29"/>
      <c r="F13" s="26" t="s">
        <v>228</v>
      </c>
      <c r="G13" s="17">
        <f>COUNTIFS('Tracking Sheet'!$J$5:$J$504,"divorced",'Tracking Sheet'!$AL$5:$AL$504,"active")</f>
        <v>3</v>
      </c>
      <c r="H13" s="26" t="str">
        <f t="shared" si="0"/>
        <v>Divorced</v>
      </c>
      <c r="I13" s="17">
        <f t="shared" si="1"/>
        <v>3</v>
      </c>
    </row>
    <row r="14" spans="1:11" ht="15.75" customHeight="1">
      <c r="A14" s="17" t="str">
        <f>'Demographic Descriptions'!A15</f>
        <v>BU 13</v>
      </c>
      <c r="B14" s="18">
        <f>COUNTIFS('Tracking Sheet'!$AN$5:$AN$504,A14,'Tracking Sheet'!$AL$5:$AL$504,"active")</f>
        <v>0</v>
      </c>
      <c r="C14" s="29"/>
      <c r="F14" s="26" t="s">
        <v>201</v>
      </c>
      <c r="G14" s="17">
        <f>COUNTIFS('Tracking Sheet'!$J$5:$J$504,"single",'Tracking Sheet'!$AL$5:$AL$504,"active")</f>
        <v>9</v>
      </c>
      <c r="H14" s="26" t="str">
        <f t="shared" si="0"/>
        <v>Single</v>
      </c>
      <c r="I14" s="17">
        <f t="shared" si="1"/>
        <v>9</v>
      </c>
    </row>
    <row r="15" spans="1:11" ht="15.75" customHeight="1">
      <c r="A15" s="17" t="str">
        <f>'Demographic Descriptions'!A16</f>
        <v>BU 14</v>
      </c>
      <c r="B15" s="18">
        <f>COUNTIFS('Tracking Sheet'!$AN$5:$AN$504,A15,'Tracking Sheet'!$AL$5:$AL$504,"active")</f>
        <v>0</v>
      </c>
      <c r="C15" s="29"/>
      <c r="F15" s="27"/>
    </row>
    <row r="16" spans="1:11" ht="15.75" customHeight="1">
      <c r="F16" s="16" t="s">
        <v>860</v>
      </c>
    </row>
    <row r="17" spans="1:9" ht="15.75" customHeight="1">
      <c r="A17" s="16" t="s">
        <v>37</v>
      </c>
      <c r="F17" s="18" t="s">
        <v>861</v>
      </c>
      <c r="G17" s="17">
        <f ca="1">COUNTIFS('Tracking Sheet'!$L$5:$L$504,"&lt;26",'Tracking Sheet'!$L$5:$L$504,"&gt;=18",'Tracking Sheet'!$AL$5:$AL$504,"active")</f>
        <v>0</v>
      </c>
      <c r="H17" s="18" t="str">
        <f>F17</f>
        <v>18-25</v>
      </c>
      <c r="I17" s="18" t="e">
        <f ca="1">IF(G17=0,NA(),G17)</f>
        <v>#N/A</v>
      </c>
    </row>
    <row r="18" spans="1:9" ht="15.75" customHeight="1">
      <c r="A18" s="17" t="str">
        <f>'Demographic Descriptions'!B3</f>
        <v>Female</v>
      </c>
      <c r="B18" s="17">
        <f>COUNTIFS('Tracking Sheet'!$E$5:$E$504,Calculations!A18,'Tracking Sheet'!$AL$5:$AL$504,"active")</f>
        <v>5</v>
      </c>
      <c r="C18" s="17" t="str">
        <f>A18</f>
        <v>Female</v>
      </c>
      <c r="D18" s="17">
        <f>IF(B18=0,NA(),B18)</f>
        <v>5</v>
      </c>
      <c r="F18" s="18" t="s">
        <v>862</v>
      </c>
      <c r="G18" s="17">
        <f ca="1">COUNTIFS('Tracking Sheet'!$L$5:$L$504,"&lt;31",'Tracking Sheet'!$L$5:$L$504,"&gt;25",'Tracking Sheet'!$AL$5:$AL$504,"active")</f>
        <v>4</v>
      </c>
      <c r="H18" s="18" t="str">
        <f t="shared" ref="H18:H25" si="2">F18</f>
        <v>26-30</v>
      </c>
      <c r="I18" s="18">
        <f t="shared" ref="I18:I25" ca="1" si="3">IF(G18=0,NA(),G18)</f>
        <v>4</v>
      </c>
    </row>
    <row r="19" spans="1:9" ht="15.75" customHeight="1">
      <c r="A19" s="17" t="str">
        <f>'Demographic Descriptions'!B4</f>
        <v>Male</v>
      </c>
      <c r="B19" s="17">
        <f>COUNTIFS('Tracking Sheet'!$E$5:$E$504,Calculations!A19,'Tracking Sheet'!$AL$5:$AL$504,"active")</f>
        <v>5</v>
      </c>
      <c r="C19" s="17" t="str">
        <f t="shared" ref="C19:C22" si="4">A19</f>
        <v>Male</v>
      </c>
      <c r="D19" s="17">
        <f t="shared" ref="D19:D22" si="5">IF(B19=0,NA(),B19)</f>
        <v>5</v>
      </c>
      <c r="F19" s="18" t="s">
        <v>863</v>
      </c>
      <c r="G19" s="17">
        <f ca="1">COUNTIFS('Tracking Sheet'!$L$5:$L$504,"&lt;36",'Tracking Sheet'!$L$5:$L$504,"&gt;30",'Tracking Sheet'!$AL$5:$AL$504,"active")</f>
        <v>8</v>
      </c>
      <c r="H19" s="18" t="str">
        <f t="shared" si="2"/>
        <v>31-35</v>
      </c>
      <c r="I19" s="18">
        <f t="shared" ca="1" si="3"/>
        <v>8</v>
      </c>
    </row>
    <row r="20" spans="1:9" ht="15.75" customHeight="1">
      <c r="A20" s="17" t="str">
        <f>'Demographic Descriptions'!B5</f>
        <v>Nonbinary</v>
      </c>
      <c r="B20" s="17">
        <f>COUNTIFS('Tracking Sheet'!$E$5:$E$504,Calculations!A20,'Tracking Sheet'!$AL$5:$AL$504,"active")</f>
        <v>3</v>
      </c>
      <c r="C20" s="17" t="str">
        <f t="shared" si="4"/>
        <v>Nonbinary</v>
      </c>
      <c r="D20" s="17">
        <f t="shared" si="5"/>
        <v>3</v>
      </c>
      <c r="F20" s="18" t="s">
        <v>864</v>
      </c>
      <c r="G20" s="17">
        <f ca="1">COUNTIFS('Tracking Sheet'!$L$5:$L$504,"&lt;41",'Tracking Sheet'!$L$5:$L$504,"&gt;35",'Tracking Sheet'!$AL$5:$AL$504,"active")</f>
        <v>2</v>
      </c>
      <c r="H20" s="18" t="str">
        <f t="shared" si="2"/>
        <v>36-40</v>
      </c>
      <c r="I20" s="18">
        <f t="shared" ca="1" si="3"/>
        <v>2</v>
      </c>
    </row>
    <row r="21" spans="1:9" ht="15.75" customHeight="1">
      <c r="A21" s="17" t="str">
        <f>'Demographic Descriptions'!B6</f>
        <v>Other</v>
      </c>
      <c r="B21" s="17">
        <f>COUNTIFS('Tracking Sheet'!$E$5:$E$504,Calculations!A21,'Tracking Sheet'!$AL$5:$AL$504,"active")</f>
        <v>4</v>
      </c>
      <c r="C21" s="17" t="str">
        <f t="shared" si="4"/>
        <v>Other</v>
      </c>
      <c r="D21" s="17">
        <f t="shared" si="5"/>
        <v>4</v>
      </c>
      <c r="F21" s="18" t="s">
        <v>865</v>
      </c>
      <c r="G21" s="17">
        <f ca="1">COUNTIFS('Tracking Sheet'!$L$5:$L$504,"&lt;46",'Tracking Sheet'!$L$5:$L$504,"&gt;40",'Tracking Sheet'!$AL$5:$AL$504,"active")</f>
        <v>1</v>
      </c>
      <c r="H21" s="18" t="str">
        <f t="shared" si="2"/>
        <v>41-45</v>
      </c>
      <c r="I21" s="18">
        <f t="shared" ca="1" si="3"/>
        <v>1</v>
      </c>
    </row>
    <row r="22" spans="1:9" ht="15.75" customHeight="1">
      <c r="A22" s="17" t="str">
        <f>'Demographic Descriptions'!B7</f>
        <v>Prefers not to disclose</v>
      </c>
      <c r="B22" s="17">
        <f>COUNTIFS('Tracking Sheet'!$E$5:$E$504,Calculations!A22,'Tracking Sheet'!$AL$5:$AL$504,"active")</f>
        <v>4</v>
      </c>
      <c r="C22" s="17" t="str">
        <f t="shared" si="4"/>
        <v>Prefers not to disclose</v>
      </c>
      <c r="D22" s="17">
        <f t="shared" si="5"/>
        <v>4</v>
      </c>
      <c r="F22" s="18" t="s">
        <v>866</v>
      </c>
      <c r="G22" s="17">
        <f ca="1">COUNTIFS('Tracking Sheet'!$L$5:$L$504,"&lt;51",'Tracking Sheet'!$L$5:$L$504,"&gt;45",'Tracking Sheet'!$AL$5:$AL$504,"active")</f>
        <v>0</v>
      </c>
      <c r="H22" s="18" t="str">
        <f t="shared" si="2"/>
        <v>46-50</v>
      </c>
      <c r="I22" s="18" t="e">
        <f t="shared" ca="1" si="3"/>
        <v>#N/A</v>
      </c>
    </row>
    <row r="23" spans="1:9" ht="15.75" customHeight="1">
      <c r="A23" s="16" t="s">
        <v>39</v>
      </c>
      <c r="F23" s="18" t="s">
        <v>867</v>
      </c>
      <c r="G23" s="17">
        <f ca="1">COUNTIFS('Tracking Sheet'!$L$5:$L$504,"&lt;56",'Tracking Sheet'!$L$5:$L$504,"&gt;50",'Tracking Sheet'!$AL$5:$AL$504,"active")</f>
        <v>2</v>
      </c>
      <c r="H23" s="18" t="str">
        <f t="shared" si="2"/>
        <v>51-55</v>
      </c>
      <c r="I23" s="18">
        <f t="shared" ca="1" si="3"/>
        <v>2</v>
      </c>
    </row>
    <row r="24" spans="1:9" ht="15.75" customHeight="1">
      <c r="A24" s="17" t="str">
        <f>'Demographic Descriptions'!C3</f>
        <v>Asian</v>
      </c>
      <c r="B24" s="17">
        <f>COUNTIFS('Tracking Sheet'!$G$5:$G$504,Calculations!A24,'Tracking Sheet'!$AL$5:$AL$504,"active")</f>
        <v>5</v>
      </c>
      <c r="C24" s="17" t="str">
        <f>A24</f>
        <v>Asian</v>
      </c>
      <c r="D24" s="17">
        <f>IF(B24=0,NA(),B24)</f>
        <v>5</v>
      </c>
      <c r="F24" s="18" t="s">
        <v>868</v>
      </c>
      <c r="G24" s="17">
        <f ca="1">COUNTIFS('Tracking Sheet'!$L$5:$L$504,"&lt;61",'Tracking Sheet'!$L$5:$L$504,"&gt;55",'Tracking Sheet'!$AL$5:$AL$504,"active")</f>
        <v>2</v>
      </c>
      <c r="H24" s="18" t="str">
        <f t="shared" si="2"/>
        <v>56-60</v>
      </c>
      <c r="I24" s="18">
        <f t="shared" ca="1" si="3"/>
        <v>2</v>
      </c>
    </row>
    <row r="25" spans="1:9" ht="15.75" customHeight="1">
      <c r="A25" s="17" t="str">
        <f>'Demographic Descriptions'!C4</f>
        <v>Black</v>
      </c>
      <c r="B25" s="17">
        <f>COUNTIFS('Tracking Sheet'!$G$5:$G$504,Calculations!A25,'Tracking Sheet'!$AL$5:$AL$504,"active")</f>
        <v>3</v>
      </c>
      <c r="C25" s="17" t="str">
        <f t="shared" ref="C25:C29" si="6">A25</f>
        <v>Black</v>
      </c>
      <c r="D25" s="17">
        <f t="shared" ref="D25:D29" si="7">IF(B25=0,NA(),B25)</f>
        <v>3</v>
      </c>
      <c r="F25" s="18" t="s">
        <v>869</v>
      </c>
      <c r="G25" s="17">
        <f ca="1">COUNTIFS('Tracking Sheet'!$L$5:$L$504,"&lt;66",'Tracking Sheet'!$L$5:$L$504,"&gt;60",'Tracking Sheet'!$AL$5:$AL$504,"active")</f>
        <v>2</v>
      </c>
      <c r="H25" s="18" t="str">
        <f t="shared" si="2"/>
        <v>61-65</v>
      </c>
      <c r="I25" s="18">
        <f t="shared" ca="1" si="3"/>
        <v>2</v>
      </c>
    </row>
    <row r="26" spans="1:9" ht="15.75" customHeight="1">
      <c r="A26" s="17" t="str">
        <f>'Demographic Descriptions'!C5</f>
        <v>Hispanic or Latino</v>
      </c>
      <c r="B26" s="17">
        <f>COUNTIFS('Tracking Sheet'!$G$5:$G$504,Calculations!A26,'Tracking Sheet'!$AL$5:$AL$504,"active")</f>
        <v>4</v>
      </c>
      <c r="C26" s="17" t="str">
        <f t="shared" si="6"/>
        <v>Hispanic or Latino</v>
      </c>
      <c r="D26" s="17">
        <f t="shared" si="7"/>
        <v>4</v>
      </c>
    </row>
    <row r="27" spans="1:9" ht="15.75" customHeight="1">
      <c r="A27" s="17" t="str">
        <f>'Demographic Descriptions'!C6</f>
        <v>White</v>
      </c>
      <c r="B27" s="17">
        <f>COUNTIFS('Tracking Sheet'!$G$5:$G$504,Calculations!A27,'Tracking Sheet'!$AL$5:$AL$504,"active")</f>
        <v>3</v>
      </c>
      <c r="C27" s="17" t="str">
        <f t="shared" si="6"/>
        <v>White</v>
      </c>
      <c r="D27" s="17">
        <f t="shared" si="7"/>
        <v>3</v>
      </c>
      <c r="F27" s="16" t="s">
        <v>870</v>
      </c>
    </row>
    <row r="28" spans="1:9" ht="15.75" customHeight="1">
      <c r="A28" s="17" t="str">
        <f>'Demographic Descriptions'!C7</f>
        <v>American Indian/Alaska Native</v>
      </c>
      <c r="B28" s="17">
        <f>COUNTIFS('Tracking Sheet'!$G$5:$G$504,Calculations!A28,'Tracking Sheet'!$AL$5:$AL$504,"active")</f>
        <v>3</v>
      </c>
      <c r="C28" s="17" t="str">
        <f t="shared" si="6"/>
        <v>American Indian/Alaska Native</v>
      </c>
      <c r="D28" s="17">
        <f t="shared" si="7"/>
        <v>3</v>
      </c>
      <c r="F28" s="17" t="str">
        <f>'Demographic Descriptions'!I3</f>
        <v>Full time</v>
      </c>
      <c r="G28" s="17">
        <f>COUNTIFS('Tracking Sheet'!$AK$5:$AK$504,"Full Time",'Tracking Sheet'!$AL$5:$AL$504,"active")</f>
        <v>17</v>
      </c>
    </row>
    <row r="29" spans="1:9" ht="15.75" customHeight="1">
      <c r="A29" s="17" t="str">
        <f>'Demographic Descriptions'!C8</f>
        <v>Prefers not to identify</v>
      </c>
      <c r="B29" s="17">
        <f>COUNTIFS('Tracking Sheet'!$G$5:$G$504,Calculations!A29,'Tracking Sheet'!$AL$5:$AL$504,"active")</f>
        <v>3</v>
      </c>
      <c r="C29" s="17" t="str">
        <f t="shared" si="6"/>
        <v>Prefers not to identify</v>
      </c>
      <c r="D29" s="17">
        <f t="shared" si="7"/>
        <v>3</v>
      </c>
      <c r="F29" s="17" t="str">
        <f>'Demographic Descriptions'!I4</f>
        <v>Part time</v>
      </c>
      <c r="G29" s="17">
        <f>COUNTIFS('Tracking Sheet'!$AK$5:$AK$504,"Part Time",'Tracking Sheet'!$AL$5:$AL$504,"active")</f>
        <v>4</v>
      </c>
    </row>
    <row r="30" spans="1:9" ht="15" customHeight="1">
      <c r="A30" s="16" t="s">
        <v>40</v>
      </c>
      <c r="F30" s="17" t="str">
        <f>'Demographic Descriptions'!I5</f>
        <v>Casual</v>
      </c>
      <c r="G30" s="17">
        <f>COUNTIFS('Tracking Sheet'!$AK$5:$AK$504,"Casual",'Tracking Sheet'!$AL$5:$AL$504,"active")</f>
        <v>0</v>
      </c>
    </row>
    <row r="31" spans="1:9" ht="15.75" customHeight="1">
      <c r="A31" s="17" t="str">
        <f>'Demographic Descriptions'!D3</f>
        <v>Afghan</v>
      </c>
      <c r="B31" s="17">
        <f>COUNTIFS('Tracking Sheet'!$H$5:$H$504,Calculations!A31,'Tracking Sheet'!$AL$5:$AL$504,"active")</f>
        <v>0</v>
      </c>
      <c r="C31" s="29"/>
      <c r="F31" s="17" t="str">
        <f>'Demographic Descriptions'!I6</f>
        <v>Fixed term</v>
      </c>
      <c r="G31" s="17">
        <f>COUNTIFS('Tracking Sheet'!$AK$5:$AK$504,"Fixed term",'Tracking Sheet'!$AL$5:$AL$504,"active")</f>
        <v>0</v>
      </c>
    </row>
    <row r="32" spans="1:9" ht="15.75" customHeight="1">
      <c r="A32" s="17" t="str">
        <f>'Demographic Descriptions'!D4</f>
        <v>Albanian</v>
      </c>
      <c r="B32" s="17">
        <f>COUNTIFS('Tracking Sheet'!$H$5:$H$504,Calculations!A32,'Tracking Sheet'!$AL$5:$AL$504,"active")</f>
        <v>0</v>
      </c>
      <c r="C32" s="29"/>
      <c r="F32" s="17" t="str">
        <f>'Demographic Descriptions'!I7</f>
        <v>Shift workers</v>
      </c>
      <c r="G32" s="17">
        <f>COUNTIFS('Tracking Sheet'!$AK$5:$AK$504,"Shift workers",'Tracking Sheet'!$AL$5:$AL$504,"active")</f>
        <v>0</v>
      </c>
    </row>
    <row r="33" spans="1:7" ht="15.75" customHeight="1">
      <c r="A33" s="17" t="str">
        <f>'Demographic Descriptions'!D5</f>
        <v>Algerian</v>
      </c>
      <c r="B33" s="17">
        <f>COUNTIFS('Tracking Sheet'!$H$5:$H$504,Calculations!A33,'Tracking Sheet'!$AL$5:$AL$504,"active")</f>
        <v>0</v>
      </c>
      <c r="C33" s="29"/>
      <c r="F33" s="17" t="str">
        <f>'Demographic Descriptions'!I8</f>
        <v>Daily hire and weekly hire</v>
      </c>
      <c r="G33" s="17">
        <f>COUNTIFS('Tracking Sheet'!$AK$5:$AK$504,"Daily hire and weekly hire",'Tracking Sheet'!$AL$5:$AL$504,"active")</f>
        <v>0</v>
      </c>
    </row>
    <row r="34" spans="1:7" ht="15.75" customHeight="1">
      <c r="A34" s="17" t="str">
        <f>'Demographic Descriptions'!D6</f>
        <v>American</v>
      </c>
      <c r="B34" s="17">
        <f>COUNTIFS('Tracking Sheet'!$H$5:$H$504,Calculations!A34,'Tracking Sheet'!$AL$5:$AL$504,"active")</f>
        <v>10</v>
      </c>
      <c r="C34" s="29"/>
      <c r="F34" s="17" t="str">
        <f>'Demographic Descriptions'!I9</f>
        <v>Probation</v>
      </c>
      <c r="G34" s="17">
        <f>COUNTIFS('Tracking Sheet'!$AK$5:$AK$504,"Probation",'Tracking Sheet'!$AL$5:$AL$504,"active")</f>
        <v>0</v>
      </c>
    </row>
    <row r="35" spans="1:7" ht="15.75" customHeight="1">
      <c r="A35" s="17" t="str">
        <f>'Demographic Descriptions'!D7</f>
        <v>Andorran</v>
      </c>
      <c r="B35" s="17">
        <f>COUNTIFS('Tracking Sheet'!$H$5:$H$504,Calculations!A35,'Tracking Sheet'!$AL$5:$AL$504,"active")</f>
        <v>0</v>
      </c>
      <c r="C35" s="29"/>
      <c r="F35" s="17" t="str">
        <f>'Demographic Descriptions'!I10</f>
        <v>Apprentices and trainees</v>
      </c>
      <c r="G35" s="17">
        <f>COUNTIFS('Tracking Sheet'!$AK$5:$AK$504,"Apprentices and trainees",'Tracking Sheet'!$AL$5:$AL$504,"active")</f>
        <v>0</v>
      </c>
    </row>
    <row r="36" spans="1:7" ht="15.75" customHeight="1">
      <c r="A36" s="17" t="str">
        <f>'Demographic Descriptions'!D8</f>
        <v>Angolan</v>
      </c>
      <c r="B36" s="17">
        <f>COUNTIFS('Tracking Sheet'!$H$5:$H$504,Calculations!A36,'Tracking Sheet'!$AL$5:$AL$504,"active")</f>
        <v>0</v>
      </c>
      <c r="C36" s="29"/>
    </row>
    <row r="37" spans="1:7" ht="15.75" customHeight="1">
      <c r="A37" s="17" t="str">
        <f>'Demographic Descriptions'!D9</f>
        <v>Anguillan</v>
      </c>
      <c r="B37" s="17">
        <f>COUNTIFS('Tracking Sheet'!$H$5:$H$504,Calculations!A37,'Tracking Sheet'!$AL$5:$AL$504,"active")</f>
        <v>0</v>
      </c>
      <c r="C37" s="29"/>
      <c r="F37" s="16" t="s">
        <v>71</v>
      </c>
    </row>
    <row r="38" spans="1:7" ht="15.75" customHeight="1">
      <c r="A38" s="17" t="str">
        <f>'Demographic Descriptions'!D10</f>
        <v>Citizen of Antigua and Barbuda</v>
      </c>
      <c r="B38" s="17">
        <f>COUNTIFS('Tracking Sheet'!$H$5:$H$504,Calculations!A38,'Tracking Sheet'!$AL$5:$AL$504,"active")</f>
        <v>0</v>
      </c>
      <c r="C38" s="29"/>
      <c r="F38" s="17" t="str">
        <f>'Demographic Descriptions'!M3</f>
        <v>Position 1</v>
      </c>
      <c r="G38" s="17">
        <f>COUNTIFS('Tracking Sheet'!$AM$5:$AM$504,F38,'Tracking Sheet'!$AL$5:$AL$504,"active")</f>
        <v>3</v>
      </c>
    </row>
    <row r="39" spans="1:7" ht="15.75" customHeight="1">
      <c r="A39" s="17" t="str">
        <f>'Demographic Descriptions'!D11</f>
        <v>Argentine</v>
      </c>
      <c r="B39" s="17">
        <f>COUNTIFS('Tracking Sheet'!$H$5:$H$504,Calculations!A39,'Tracking Sheet'!$AL$5:$AL$504,"active")</f>
        <v>1</v>
      </c>
      <c r="C39" s="29"/>
      <c r="F39" s="17" t="str">
        <f>'Demographic Descriptions'!M4</f>
        <v>Position 2</v>
      </c>
      <c r="G39" s="17">
        <f>COUNTIFS('Tracking Sheet'!$AM$5:$AM$504,F39,'Tracking Sheet'!$AL$5:$AL$504,"active")</f>
        <v>2</v>
      </c>
    </row>
    <row r="40" spans="1:7" ht="15.75" customHeight="1">
      <c r="A40" s="17" t="str">
        <f>'Demographic Descriptions'!D12</f>
        <v>Armenian</v>
      </c>
      <c r="B40" s="17">
        <f>COUNTIFS('Tracking Sheet'!$H$5:$H$504,Calculations!A40,'Tracking Sheet'!$AL$5:$AL$504,"active")</f>
        <v>0</v>
      </c>
      <c r="C40" s="29"/>
      <c r="F40" s="17" t="str">
        <f>'Demographic Descriptions'!M5</f>
        <v>Position 3</v>
      </c>
      <c r="G40" s="17">
        <f>COUNTIFS('Tracking Sheet'!$AM$5:$AM$504,F40,'Tracking Sheet'!$AL$5:$AL$504,"active")</f>
        <v>2</v>
      </c>
    </row>
    <row r="41" spans="1:7" ht="15.75" customHeight="1">
      <c r="A41" s="17" t="str">
        <f>'Demographic Descriptions'!D13</f>
        <v>Australian</v>
      </c>
      <c r="B41" s="17">
        <f>COUNTIFS('Tracking Sheet'!$H$5:$H$504,Calculations!A41,'Tracking Sheet'!$AL$5:$AL$504,"active")</f>
        <v>0</v>
      </c>
      <c r="C41" s="29"/>
      <c r="F41" s="17" t="str">
        <f>'Demographic Descriptions'!M6</f>
        <v>Position 4</v>
      </c>
      <c r="G41" s="17">
        <f>COUNTIFS('Tracking Sheet'!$AM$5:$AM$504,F41,'Tracking Sheet'!$AL$5:$AL$504,"active")</f>
        <v>2</v>
      </c>
    </row>
    <row r="42" spans="1:7" ht="15.75" customHeight="1">
      <c r="A42" s="17" t="str">
        <f>'Demographic Descriptions'!D14</f>
        <v>Austrian</v>
      </c>
      <c r="B42" s="17">
        <f>COUNTIFS('Tracking Sheet'!$H$5:$H$504,Calculations!A42,'Tracking Sheet'!$AL$5:$AL$504,"active")</f>
        <v>0</v>
      </c>
      <c r="C42" s="29"/>
      <c r="F42" s="17" t="str">
        <f>'Demographic Descriptions'!M7</f>
        <v>Position 5</v>
      </c>
      <c r="G42" s="17">
        <f>COUNTIFS('Tracking Sheet'!$AM$5:$AM$504,F42,'Tracking Sheet'!$AL$5:$AL$504,"active")</f>
        <v>2</v>
      </c>
    </row>
    <row r="43" spans="1:7" ht="15.75" customHeight="1">
      <c r="A43" s="17" t="str">
        <f>'Demographic Descriptions'!D15</f>
        <v>Azerbaijani</v>
      </c>
      <c r="B43" s="17">
        <f>COUNTIFS('Tracking Sheet'!$H$5:$H$504,Calculations!A43,'Tracking Sheet'!$AL$5:$AL$504,"active")</f>
        <v>0</v>
      </c>
      <c r="C43" s="29"/>
      <c r="F43" s="17" t="str">
        <f>'Demographic Descriptions'!M8</f>
        <v>Position 6</v>
      </c>
      <c r="G43" s="17">
        <f>COUNTIFS('Tracking Sheet'!$AM$5:$AM$504,F43,'Tracking Sheet'!$AL$5:$AL$504,"active")</f>
        <v>2</v>
      </c>
    </row>
    <row r="44" spans="1:7" ht="15.75" customHeight="1">
      <c r="A44" s="17" t="str">
        <f>'Demographic Descriptions'!D16</f>
        <v>Bahamian</v>
      </c>
      <c r="B44" s="17">
        <f>COUNTIFS('Tracking Sheet'!$H$5:$H$504,Calculations!A44,'Tracking Sheet'!$AL$5:$AL$504,"active")</f>
        <v>0</v>
      </c>
      <c r="C44" s="29"/>
      <c r="F44" s="17" t="str">
        <f>'Demographic Descriptions'!M9</f>
        <v>Position 7</v>
      </c>
      <c r="G44" s="17">
        <f>COUNTIFS('Tracking Sheet'!$AM$5:$AM$504,F44,'Tracking Sheet'!$AL$5:$AL$504,"active")</f>
        <v>2</v>
      </c>
    </row>
    <row r="45" spans="1:7" ht="15.75" customHeight="1">
      <c r="A45" s="17" t="str">
        <f>'Demographic Descriptions'!D17</f>
        <v>Bahraini</v>
      </c>
      <c r="B45" s="17">
        <f>COUNTIFS('Tracking Sheet'!$H$5:$H$504,Calculations!A45,'Tracking Sheet'!$AL$5:$AL$504,"active")</f>
        <v>0</v>
      </c>
      <c r="C45" s="29"/>
      <c r="F45" s="17" t="str">
        <f>'Demographic Descriptions'!M10</f>
        <v>Position 8</v>
      </c>
      <c r="G45" s="17">
        <f>COUNTIFS('Tracking Sheet'!$AM$5:$AM$504,F45,'Tracking Sheet'!$AL$5:$AL$504,"active")</f>
        <v>2</v>
      </c>
    </row>
    <row r="46" spans="1:7" ht="15.75" customHeight="1">
      <c r="A46" s="17" t="str">
        <f>'Demographic Descriptions'!D18</f>
        <v>Bangladeshi</v>
      </c>
      <c r="B46" s="17">
        <f>COUNTIFS('Tracking Sheet'!$H$5:$H$504,Calculations!A46,'Tracking Sheet'!$AL$5:$AL$504,"active")</f>
        <v>0</v>
      </c>
      <c r="C46" s="29"/>
      <c r="F46" s="17" t="str">
        <f>'Demographic Descriptions'!M11</f>
        <v>Position 9</v>
      </c>
      <c r="G46" s="17">
        <f>COUNTIFS('Tracking Sheet'!$AM$5:$AM$504,F46,'Tracking Sheet'!$AL$5:$AL$504,"active")</f>
        <v>2</v>
      </c>
    </row>
    <row r="47" spans="1:7" ht="15.75" customHeight="1">
      <c r="A47" s="17" t="str">
        <f>'Demographic Descriptions'!D19</f>
        <v>Barbadian</v>
      </c>
      <c r="B47" s="17">
        <f>COUNTIFS('Tracking Sheet'!$H$5:$H$504,Calculations!A47,'Tracking Sheet'!$AL$5:$AL$504,"active")</f>
        <v>0</v>
      </c>
      <c r="C47" s="29"/>
      <c r="F47" s="17" t="str">
        <f>'Demographic Descriptions'!M12</f>
        <v>Position 10</v>
      </c>
      <c r="G47" s="17">
        <f>COUNTIFS('Tracking Sheet'!$AM$5:$AM$504,F47,'Tracking Sheet'!$AL$5:$AL$504,"active")</f>
        <v>2</v>
      </c>
    </row>
    <row r="48" spans="1:7" ht="15.75" customHeight="1">
      <c r="A48" s="17" t="str">
        <f>'Demographic Descriptions'!D20</f>
        <v>Belarusian</v>
      </c>
      <c r="B48" s="17">
        <f>COUNTIFS('Tracking Sheet'!$H$5:$H$504,Calculations!A48,'Tracking Sheet'!$AL$5:$AL$504,"active")</f>
        <v>0</v>
      </c>
      <c r="C48" s="29"/>
      <c r="F48" s="17" t="str">
        <f>'Demographic Descriptions'!M13</f>
        <v>Position 11</v>
      </c>
      <c r="G48" s="17">
        <f>COUNTIFS('Tracking Sheet'!$AM$5:$AM$504,F48,'Tracking Sheet'!$AL$5:$AL$504,"active")</f>
        <v>0</v>
      </c>
    </row>
    <row r="49" spans="1:7" ht="15.75" customHeight="1">
      <c r="A49" s="17" t="str">
        <f>'Demographic Descriptions'!D21</f>
        <v>Belgian</v>
      </c>
      <c r="B49" s="17">
        <f>COUNTIFS('Tracking Sheet'!$H$5:$H$504,Calculations!A49,'Tracking Sheet'!$AL$5:$AL$504,"active")</f>
        <v>0</v>
      </c>
      <c r="C49" s="29"/>
      <c r="F49" s="17" t="str">
        <f>'Demographic Descriptions'!M14</f>
        <v>Position 12</v>
      </c>
      <c r="G49" s="17">
        <f>COUNTIFS('Tracking Sheet'!$AM$5:$AM$504,F49,'Tracking Sheet'!$AL$5:$AL$504,"active")</f>
        <v>0</v>
      </c>
    </row>
    <row r="50" spans="1:7" ht="15.75" customHeight="1">
      <c r="A50" s="17" t="str">
        <f>'Demographic Descriptions'!D22</f>
        <v>Belizean</v>
      </c>
      <c r="B50" s="17">
        <f>COUNTIFS('Tracking Sheet'!$H$5:$H$504,Calculations!A50,'Tracking Sheet'!$AL$5:$AL$504,"active")</f>
        <v>0</v>
      </c>
      <c r="C50" s="29"/>
      <c r="F50" s="17" t="str">
        <f>'Demographic Descriptions'!M15</f>
        <v>Position 13</v>
      </c>
      <c r="G50" s="17">
        <f>COUNTIFS('Tracking Sheet'!$AM$5:$AM$504,F50,'Tracking Sheet'!$AL$5:$AL$504,"active")</f>
        <v>0</v>
      </c>
    </row>
    <row r="51" spans="1:7" ht="15.75" customHeight="1">
      <c r="A51" s="17" t="str">
        <f>'Demographic Descriptions'!D23</f>
        <v>Beninese</v>
      </c>
      <c r="B51" s="17">
        <f>COUNTIFS('Tracking Sheet'!$H$5:$H$504,Calculations!A51,'Tracking Sheet'!$AL$5:$AL$504,"active")</f>
        <v>0</v>
      </c>
      <c r="C51" s="29"/>
      <c r="F51" s="17" t="str">
        <f>'Demographic Descriptions'!M16</f>
        <v>Position 14</v>
      </c>
      <c r="G51" s="17">
        <f>COUNTIFS('Tracking Sheet'!$AM$5:$AM$504,F51,'Tracking Sheet'!$AL$5:$AL$504,"active")</f>
        <v>0</v>
      </c>
    </row>
    <row r="52" spans="1:7" ht="15.75" customHeight="1">
      <c r="A52" s="17" t="str">
        <f>'Demographic Descriptions'!D24</f>
        <v>Bermudian</v>
      </c>
      <c r="B52" s="17">
        <f>COUNTIFS('Tracking Sheet'!$H$5:$H$504,Calculations!A52,'Tracking Sheet'!$AL$5:$AL$504,"active")</f>
        <v>0</v>
      </c>
      <c r="C52" s="29"/>
      <c r="F52" s="17" t="str">
        <f>'Demographic Descriptions'!M17</f>
        <v>Position 15</v>
      </c>
      <c r="G52" s="17">
        <f>COUNTIFS('Tracking Sheet'!$AM$5:$AM$504,F52,'Tracking Sheet'!$AL$5:$AL$504,"active")</f>
        <v>0</v>
      </c>
    </row>
    <row r="53" spans="1:7" ht="15.75" customHeight="1">
      <c r="A53" s="17" t="str">
        <f>'Demographic Descriptions'!D25</f>
        <v>Bhutanese</v>
      </c>
      <c r="B53" s="17">
        <f>COUNTIFS('Tracking Sheet'!$H$5:$H$504,Calculations!A53,'Tracking Sheet'!$AL$5:$AL$504,"active")</f>
        <v>0</v>
      </c>
      <c r="C53" s="29"/>
      <c r="F53" s="17" t="str">
        <f>'Demographic Descriptions'!M18</f>
        <v>Position 16</v>
      </c>
      <c r="G53" s="17">
        <f>COUNTIFS('Tracking Sheet'!$AM$5:$AM$504,F53,'Tracking Sheet'!$AL$5:$AL$504,"active")</f>
        <v>0</v>
      </c>
    </row>
    <row r="54" spans="1:7" ht="15.75" customHeight="1">
      <c r="A54" s="17" t="str">
        <f>'Demographic Descriptions'!D26</f>
        <v>Bolivian</v>
      </c>
      <c r="B54" s="17">
        <f>COUNTIFS('Tracking Sheet'!$H$5:$H$504,Calculations!A54,'Tracking Sheet'!$AL$5:$AL$504,"active")</f>
        <v>0</v>
      </c>
      <c r="C54" s="29"/>
      <c r="F54" s="17" t="str">
        <f>'Demographic Descriptions'!M19</f>
        <v>Position 17</v>
      </c>
      <c r="G54" s="17">
        <f>COUNTIFS('Tracking Sheet'!$AM$5:$AM$504,F54,'Tracking Sheet'!$AL$5:$AL$504,"active")</f>
        <v>0</v>
      </c>
    </row>
    <row r="55" spans="1:7" ht="15.75" customHeight="1">
      <c r="A55" s="17" t="str">
        <f>'Demographic Descriptions'!D27</f>
        <v>Citizen of Bosnia and Herzegovina</v>
      </c>
      <c r="B55" s="17">
        <f>COUNTIFS('Tracking Sheet'!$H$5:$H$504,Calculations!A55,'Tracking Sheet'!$AL$5:$AL$504,"active")</f>
        <v>0</v>
      </c>
      <c r="C55" s="29"/>
      <c r="F55" s="17" t="str">
        <f>'Demographic Descriptions'!M20</f>
        <v>Position 18</v>
      </c>
      <c r="G55" s="17">
        <f>COUNTIFS('Tracking Sheet'!$AM$5:$AM$504,F55,'Tracking Sheet'!$AL$5:$AL$504,"active")</f>
        <v>0</v>
      </c>
    </row>
    <row r="56" spans="1:7" ht="15.75" customHeight="1">
      <c r="A56" s="17" t="str">
        <f>'Demographic Descriptions'!D28</f>
        <v>Botswanan</v>
      </c>
      <c r="B56" s="17">
        <f>COUNTIFS('Tracking Sheet'!$H$5:$H$504,Calculations!A56,'Tracking Sheet'!$AL$5:$AL$504,"active")</f>
        <v>0</v>
      </c>
      <c r="C56" s="29"/>
      <c r="F56" s="17" t="str">
        <f>'Demographic Descriptions'!M21</f>
        <v>Position 19</v>
      </c>
      <c r="G56" s="17">
        <f>COUNTIFS('Tracking Sheet'!$AM$5:$AM$504,F56,'Tracking Sheet'!$AL$5:$AL$504,"active")</f>
        <v>0</v>
      </c>
    </row>
    <row r="57" spans="1:7" ht="15.75" customHeight="1">
      <c r="A57" s="17" t="str">
        <f>'Demographic Descriptions'!D29</f>
        <v>Brazilian</v>
      </c>
      <c r="B57" s="17">
        <f>COUNTIFS('Tracking Sheet'!$H$5:$H$504,Calculations!A57,'Tracking Sheet'!$AL$5:$AL$504,"active")</f>
        <v>1</v>
      </c>
      <c r="C57" s="29"/>
      <c r="F57" s="17" t="str">
        <f>'Demographic Descriptions'!M22</f>
        <v>Position 20</v>
      </c>
      <c r="G57" s="17">
        <f>COUNTIFS('Tracking Sheet'!$AM$5:$AM$504,F57,'Tracking Sheet'!$AL$5:$AL$504,"active")</f>
        <v>0</v>
      </c>
    </row>
    <row r="58" spans="1:7" ht="15.75" customHeight="1">
      <c r="A58" s="17" t="str">
        <f>'Demographic Descriptions'!D30</f>
        <v>British</v>
      </c>
      <c r="B58" s="17">
        <f>COUNTIFS('Tracking Sheet'!$H$5:$H$504,Calculations!A58,'Tracking Sheet'!$AL$5:$AL$504,"active")</f>
        <v>1</v>
      </c>
      <c r="C58" s="29"/>
      <c r="F58" s="17" t="str">
        <f>'Demographic Descriptions'!M23</f>
        <v>Position 21</v>
      </c>
      <c r="G58" s="17">
        <f>COUNTIFS('Tracking Sheet'!$AM$5:$AM$504,F58,'Tracking Sheet'!$AL$5:$AL$504,"active")</f>
        <v>0</v>
      </c>
    </row>
    <row r="59" spans="1:7" ht="15.75" customHeight="1">
      <c r="A59" s="17" t="str">
        <f>'Demographic Descriptions'!D31</f>
        <v>British Virgin Islander</v>
      </c>
      <c r="B59" s="17">
        <f>COUNTIFS('Tracking Sheet'!$H$5:$H$504,Calculations!A59,'Tracking Sheet'!$AL$5:$AL$504,"active")</f>
        <v>0</v>
      </c>
      <c r="C59" s="29"/>
      <c r="F59" s="17" t="str">
        <f>'Demographic Descriptions'!M24</f>
        <v>Position 22</v>
      </c>
      <c r="G59" s="17">
        <f>COUNTIFS('Tracking Sheet'!$AM$5:$AM$504,F59,'Tracking Sheet'!$AL$5:$AL$504,"active")</f>
        <v>0</v>
      </c>
    </row>
    <row r="60" spans="1:7" ht="15.75" customHeight="1">
      <c r="A60" s="17" t="str">
        <f>'Demographic Descriptions'!D32</f>
        <v>Bruneian</v>
      </c>
      <c r="B60" s="17">
        <f>COUNTIFS('Tracking Sheet'!$H$5:$H$504,Calculations!A60,'Tracking Sheet'!$AL$5:$AL$504,"active")</f>
        <v>0</v>
      </c>
      <c r="C60" s="29"/>
      <c r="F60" s="17" t="str">
        <f>'Demographic Descriptions'!M25</f>
        <v>Position 23</v>
      </c>
      <c r="G60" s="17">
        <f>COUNTIFS('Tracking Sheet'!$AM$5:$AM$504,F60,'Tracking Sheet'!$AL$5:$AL$504,"active")</f>
        <v>0</v>
      </c>
    </row>
    <row r="61" spans="1:7" ht="15.75" customHeight="1">
      <c r="A61" s="17" t="str">
        <f>'Demographic Descriptions'!D33</f>
        <v>Bulgarian</v>
      </c>
      <c r="B61" s="17">
        <f>COUNTIFS('Tracking Sheet'!$H$5:$H$504,Calculations!A61,'Tracking Sheet'!$AL$5:$AL$504,"active")</f>
        <v>0</v>
      </c>
      <c r="C61" s="29"/>
      <c r="F61" s="17" t="str">
        <f>'Demographic Descriptions'!M26</f>
        <v>Position 24</v>
      </c>
      <c r="G61" s="17">
        <f>COUNTIFS('Tracking Sheet'!$AM$5:$AM$504,F61,'Tracking Sheet'!$AL$5:$AL$504,"active")</f>
        <v>0</v>
      </c>
    </row>
    <row r="62" spans="1:7" ht="15.75" customHeight="1">
      <c r="A62" s="17" t="str">
        <f>'Demographic Descriptions'!D34</f>
        <v>Burkinan</v>
      </c>
      <c r="B62" s="17">
        <f>COUNTIFS('Tracking Sheet'!$H$5:$H$504,Calculations!A62,'Tracking Sheet'!$AL$5:$AL$504,"active")</f>
        <v>0</v>
      </c>
      <c r="C62" s="29"/>
      <c r="F62" s="17" t="str">
        <f>'Demographic Descriptions'!M27</f>
        <v>Position 25</v>
      </c>
      <c r="G62" s="17">
        <f>COUNTIFS('Tracking Sheet'!$AM$5:$AM$504,F62,'Tracking Sheet'!$AL$5:$AL$504,"active")</f>
        <v>0</v>
      </c>
    </row>
    <row r="63" spans="1:7" ht="15.75" customHeight="1">
      <c r="A63" s="17" t="str">
        <f>'Demographic Descriptions'!D35</f>
        <v>Burmese</v>
      </c>
      <c r="B63" s="17">
        <f>COUNTIFS('Tracking Sheet'!$H$5:$H$504,Calculations!A63,'Tracking Sheet'!$AL$5:$AL$504,"active")</f>
        <v>0</v>
      </c>
      <c r="C63" s="29"/>
      <c r="F63" s="17" t="str">
        <f>'Demographic Descriptions'!M28</f>
        <v>Position 26</v>
      </c>
      <c r="G63" s="17">
        <f>COUNTIFS('Tracking Sheet'!$AM$5:$AM$504,F63,'Tracking Sheet'!$AL$5:$AL$504,"active")</f>
        <v>0</v>
      </c>
    </row>
    <row r="64" spans="1:7" ht="15.75" customHeight="1">
      <c r="A64" s="17" t="str">
        <f>'Demographic Descriptions'!D36</f>
        <v>Burundian</v>
      </c>
      <c r="B64" s="17">
        <f>COUNTIFS('Tracking Sheet'!$H$5:$H$504,Calculations!A64,'Tracking Sheet'!$AL$5:$AL$504,"active")</f>
        <v>0</v>
      </c>
      <c r="C64" s="29"/>
      <c r="F64" s="17" t="str">
        <f>'Demographic Descriptions'!M29</f>
        <v>Position 27</v>
      </c>
      <c r="G64" s="17">
        <f>COUNTIFS('Tracking Sheet'!$AM$5:$AM$504,F64,'Tracking Sheet'!$AL$5:$AL$504,"active")</f>
        <v>0</v>
      </c>
    </row>
    <row r="65" spans="1:7" ht="15.75" customHeight="1">
      <c r="A65" s="17" t="str">
        <f>'Demographic Descriptions'!D37</f>
        <v>Cambodian</v>
      </c>
      <c r="B65" s="17">
        <f>COUNTIFS('Tracking Sheet'!$H$5:$H$504,Calculations!A65,'Tracking Sheet'!$AL$5:$AL$504,"active")</f>
        <v>0</v>
      </c>
      <c r="C65" s="29"/>
      <c r="F65" s="17" t="str">
        <f>'Demographic Descriptions'!M30</f>
        <v>Position 28</v>
      </c>
      <c r="G65" s="17">
        <f>COUNTIFS('Tracking Sheet'!$AM$5:$AM$504,F65,'Tracking Sheet'!$AL$5:$AL$504,"active")</f>
        <v>0</v>
      </c>
    </row>
    <row r="66" spans="1:7" ht="15.75" customHeight="1">
      <c r="A66" s="17" t="str">
        <f>'Demographic Descriptions'!D38</f>
        <v>Cameroonian</v>
      </c>
      <c r="B66" s="17">
        <f>COUNTIFS('Tracking Sheet'!$H$5:$H$504,Calculations!A66,'Tracking Sheet'!$AL$5:$AL$504,"active")</f>
        <v>0</v>
      </c>
      <c r="C66" s="29"/>
      <c r="F66" s="17" t="str">
        <f>'Demographic Descriptions'!M31</f>
        <v>Position 29</v>
      </c>
      <c r="G66" s="17">
        <f>COUNTIFS('Tracking Sheet'!$AM$5:$AM$504,F66,'Tracking Sheet'!$AL$5:$AL$504,"active")</f>
        <v>0</v>
      </c>
    </row>
    <row r="67" spans="1:7" ht="15.75" customHeight="1">
      <c r="A67" s="17" t="str">
        <f>'Demographic Descriptions'!D39</f>
        <v>Canadian</v>
      </c>
      <c r="B67" s="17">
        <f>COUNTIFS('Tracking Sheet'!$H$5:$H$504,Calculations!A67,'Tracking Sheet'!$AL$5:$AL$504,"active")</f>
        <v>0</v>
      </c>
      <c r="C67" s="29"/>
      <c r="F67" s="17" t="str">
        <f>'Demographic Descriptions'!M32</f>
        <v>Position 30</v>
      </c>
      <c r="G67" s="17">
        <f>COUNTIFS('Tracking Sheet'!$AM$5:$AM$504,F67,'Tracking Sheet'!$AL$5:$AL$504,"active")</f>
        <v>0</v>
      </c>
    </row>
    <row r="68" spans="1:7" ht="15.75" customHeight="1">
      <c r="A68" s="17" t="str">
        <f>'Demographic Descriptions'!D40</f>
        <v>Cape Verdean</v>
      </c>
      <c r="B68" s="17">
        <f>COUNTIFS('Tracking Sheet'!$H$5:$H$504,Calculations!A68,'Tracking Sheet'!$AL$5:$AL$504,"active")</f>
        <v>0</v>
      </c>
      <c r="C68" s="29"/>
      <c r="F68" s="17" t="str">
        <f>'Demographic Descriptions'!M33</f>
        <v>Position 31</v>
      </c>
      <c r="G68" s="17">
        <f>COUNTIFS('Tracking Sheet'!$AM$5:$AM$504,F68,'Tracking Sheet'!$AL$5:$AL$504,"active")</f>
        <v>0</v>
      </c>
    </row>
    <row r="69" spans="1:7" ht="15.75" customHeight="1">
      <c r="A69" s="17" t="str">
        <f>'Demographic Descriptions'!D41</f>
        <v>Cayman Islander</v>
      </c>
      <c r="B69" s="17">
        <f>COUNTIFS('Tracking Sheet'!$H$5:$H$504,Calculations!A69,'Tracking Sheet'!$AL$5:$AL$504,"active")</f>
        <v>0</v>
      </c>
      <c r="C69" s="29"/>
      <c r="F69" s="17" t="str">
        <f>'Demographic Descriptions'!M34</f>
        <v>Position 32</v>
      </c>
      <c r="G69" s="17">
        <f>COUNTIFS('Tracking Sheet'!$AM$5:$AM$504,F69,'Tracking Sheet'!$AL$5:$AL$504,"active")</f>
        <v>0</v>
      </c>
    </row>
    <row r="70" spans="1:7" ht="15.75" customHeight="1">
      <c r="A70" s="17" t="str">
        <f>'Demographic Descriptions'!D42</f>
        <v>Central African</v>
      </c>
      <c r="B70" s="17">
        <f>COUNTIFS('Tracking Sheet'!$H$5:$H$504,Calculations!A70,'Tracking Sheet'!$AL$5:$AL$504,"active")</f>
        <v>0</v>
      </c>
      <c r="C70" s="29"/>
      <c r="F70" s="17" t="str">
        <f>'Demographic Descriptions'!M35</f>
        <v>Position 33</v>
      </c>
      <c r="G70" s="17">
        <f>COUNTIFS('Tracking Sheet'!$AM$5:$AM$504,F70,'Tracking Sheet'!$AL$5:$AL$504,"active")</f>
        <v>0</v>
      </c>
    </row>
    <row r="71" spans="1:7" ht="15.75" customHeight="1">
      <c r="A71" s="17" t="str">
        <f>'Demographic Descriptions'!D43</f>
        <v>Chadian</v>
      </c>
      <c r="B71" s="17">
        <f>COUNTIFS('Tracking Sheet'!$H$5:$H$504,Calculations!A71,'Tracking Sheet'!$AL$5:$AL$504,"active")</f>
        <v>0</v>
      </c>
      <c r="C71" s="29"/>
      <c r="F71" s="17" t="str">
        <f>'Demographic Descriptions'!M36</f>
        <v>Position 34</v>
      </c>
      <c r="G71" s="17">
        <f>COUNTIFS('Tracking Sheet'!$AM$5:$AM$504,F71,'Tracking Sheet'!$AL$5:$AL$504,"active")</f>
        <v>0</v>
      </c>
    </row>
    <row r="72" spans="1:7" ht="15.75" customHeight="1">
      <c r="A72" s="17" t="str">
        <f>'Demographic Descriptions'!D44</f>
        <v>Chilean</v>
      </c>
      <c r="B72" s="17">
        <f>COUNTIFS('Tracking Sheet'!$H$5:$H$504,Calculations!A72,'Tracking Sheet'!$AL$5:$AL$504,"active")</f>
        <v>0</v>
      </c>
      <c r="C72" s="29"/>
      <c r="F72" s="17" t="str">
        <f>'Demographic Descriptions'!M37</f>
        <v>Position 35</v>
      </c>
      <c r="G72" s="17">
        <f>COUNTIFS('Tracking Sheet'!$AM$5:$AM$504,F72,'Tracking Sheet'!$AL$5:$AL$504,"active")</f>
        <v>0</v>
      </c>
    </row>
    <row r="73" spans="1:7" ht="15.75" customHeight="1">
      <c r="A73" s="17" t="str">
        <f>'Demographic Descriptions'!D45</f>
        <v>Chinese</v>
      </c>
      <c r="B73" s="17">
        <f>COUNTIFS('Tracking Sheet'!$H$5:$H$504,Calculations!A73,'Tracking Sheet'!$AL$5:$AL$504,"active")</f>
        <v>1</v>
      </c>
      <c r="C73" s="29"/>
      <c r="F73" s="17" t="str">
        <f>'Demographic Descriptions'!M38</f>
        <v>Position 36</v>
      </c>
      <c r="G73" s="17">
        <f>COUNTIFS('Tracking Sheet'!$AM$5:$AM$504,F73,'Tracking Sheet'!$AL$5:$AL$504,"active")</f>
        <v>0</v>
      </c>
    </row>
    <row r="74" spans="1:7" ht="15.75" customHeight="1">
      <c r="A74" s="17" t="str">
        <f>'Demographic Descriptions'!D46</f>
        <v>Colombian</v>
      </c>
      <c r="B74" s="17">
        <f>COUNTIFS('Tracking Sheet'!$H$5:$H$504,Calculations!A74,'Tracking Sheet'!$AL$5:$AL$504,"active")</f>
        <v>1</v>
      </c>
      <c r="C74" s="29"/>
      <c r="F74" s="17" t="str">
        <f>'Demographic Descriptions'!M39</f>
        <v>Position 37</v>
      </c>
      <c r="G74" s="17">
        <f>COUNTIFS('Tracking Sheet'!$AM$5:$AM$504,F74,'Tracking Sheet'!$AL$5:$AL$504,"active")</f>
        <v>0</v>
      </c>
    </row>
    <row r="75" spans="1:7" ht="15.75" customHeight="1">
      <c r="A75" s="17" t="str">
        <f>'Demographic Descriptions'!D47</f>
        <v>Comoran</v>
      </c>
      <c r="B75" s="17">
        <f>COUNTIFS('Tracking Sheet'!$H$5:$H$504,Calculations!A75,'Tracking Sheet'!$AL$5:$AL$504,"active")</f>
        <v>0</v>
      </c>
      <c r="C75" s="29"/>
      <c r="F75" s="17" t="str">
        <f>'Demographic Descriptions'!M40</f>
        <v>Position 38</v>
      </c>
      <c r="G75" s="17">
        <f>COUNTIFS('Tracking Sheet'!$AM$5:$AM$504,F75,'Tracking Sheet'!$AL$5:$AL$504,"active")</f>
        <v>0</v>
      </c>
    </row>
    <row r="76" spans="1:7" ht="15.75" customHeight="1">
      <c r="A76" s="17" t="str">
        <f>'Demographic Descriptions'!D48</f>
        <v>Congolese (Congo)</v>
      </c>
      <c r="B76" s="17">
        <f>COUNTIFS('Tracking Sheet'!$H$5:$H$504,Calculations!A76,'Tracking Sheet'!$AL$5:$AL$504,"active")</f>
        <v>0</v>
      </c>
      <c r="C76" s="29"/>
      <c r="F76" s="17" t="str">
        <f>'Demographic Descriptions'!M41</f>
        <v>Position 39</v>
      </c>
      <c r="G76" s="17">
        <f>COUNTIFS('Tracking Sheet'!$AM$5:$AM$504,F76,'Tracking Sheet'!$AL$5:$AL$504,"active")</f>
        <v>0</v>
      </c>
    </row>
    <row r="77" spans="1:7" ht="15.75" customHeight="1">
      <c r="A77" s="17" t="str">
        <f>'Demographic Descriptions'!D49</f>
        <v>Congolese (DRC)</v>
      </c>
      <c r="B77" s="17">
        <f>COUNTIFS('Tracking Sheet'!$H$5:$H$504,Calculations!A77,'Tracking Sheet'!$AL$5:$AL$504,"active")</f>
        <v>0</v>
      </c>
      <c r="C77" s="29"/>
      <c r="F77" s="17" t="str">
        <f>'Demographic Descriptions'!M42</f>
        <v>Position 40</v>
      </c>
      <c r="G77" s="17">
        <f>COUNTIFS('Tracking Sheet'!$AM$5:$AM$504,F77,'Tracking Sheet'!$AL$5:$AL$504,"active")</f>
        <v>0</v>
      </c>
    </row>
    <row r="78" spans="1:7" ht="15.75" customHeight="1">
      <c r="A78" s="17" t="str">
        <f>'Demographic Descriptions'!D50</f>
        <v>Cook Islander</v>
      </c>
      <c r="B78" s="17">
        <f>COUNTIFS('Tracking Sheet'!$H$5:$H$504,Calculations!A78,'Tracking Sheet'!$AL$5:$AL$504,"active")</f>
        <v>0</v>
      </c>
      <c r="C78" s="29"/>
      <c r="F78" s="17" t="str">
        <f>'Demographic Descriptions'!M43</f>
        <v>Position 41</v>
      </c>
      <c r="G78" s="17">
        <f>COUNTIFS('Tracking Sheet'!$AM$5:$AM$504,F78,'Tracking Sheet'!$AL$5:$AL$504,"active")</f>
        <v>0</v>
      </c>
    </row>
    <row r="79" spans="1:7" ht="15.75" customHeight="1">
      <c r="A79" s="17" t="str">
        <f>'Demographic Descriptions'!D51</f>
        <v>Costa Rican</v>
      </c>
      <c r="B79" s="17">
        <f>COUNTIFS('Tracking Sheet'!$H$5:$H$504,Calculations!A79,'Tracking Sheet'!$AL$5:$AL$504,"active")</f>
        <v>0</v>
      </c>
      <c r="C79" s="29"/>
      <c r="F79" s="17" t="str">
        <f>'Demographic Descriptions'!M44</f>
        <v>Position 42</v>
      </c>
      <c r="G79" s="17">
        <f>COUNTIFS('Tracking Sheet'!$AM$5:$AM$504,F79,'Tracking Sheet'!$AL$5:$AL$504,"active")</f>
        <v>0</v>
      </c>
    </row>
    <row r="80" spans="1:7" ht="15.75" customHeight="1">
      <c r="A80" s="17" t="str">
        <f>'Demographic Descriptions'!D52</f>
        <v>Croatian</v>
      </c>
      <c r="B80" s="17">
        <f>COUNTIFS('Tracking Sheet'!$H$5:$H$504,Calculations!A80,'Tracking Sheet'!$AL$5:$AL$504,"active")</f>
        <v>0</v>
      </c>
      <c r="C80" s="29"/>
      <c r="F80" s="17" t="str">
        <f>'Demographic Descriptions'!M45</f>
        <v>Position 43</v>
      </c>
      <c r="G80" s="17">
        <f>COUNTIFS('Tracking Sheet'!$AM$5:$AM$504,F80,'Tracking Sheet'!$AL$5:$AL$504,"active")</f>
        <v>0</v>
      </c>
    </row>
    <row r="81" spans="1:7" ht="15.75" customHeight="1">
      <c r="A81" s="17" t="str">
        <f>'Demographic Descriptions'!D53</f>
        <v>Cuban</v>
      </c>
      <c r="B81" s="17">
        <f>COUNTIFS('Tracking Sheet'!$H$5:$H$504,Calculations!A81,'Tracking Sheet'!$AL$5:$AL$504,"active")</f>
        <v>0</v>
      </c>
      <c r="C81" s="29"/>
      <c r="F81" s="17" t="str">
        <f>'Demographic Descriptions'!M46</f>
        <v>Position 44</v>
      </c>
      <c r="G81" s="17">
        <f>COUNTIFS('Tracking Sheet'!$AM$5:$AM$504,F81,'Tracking Sheet'!$AL$5:$AL$504,"active")</f>
        <v>0</v>
      </c>
    </row>
    <row r="82" spans="1:7" ht="15.75" customHeight="1">
      <c r="A82" s="17" t="str">
        <f>'Demographic Descriptions'!D54</f>
        <v>Cypriot</v>
      </c>
      <c r="B82" s="17">
        <f>COUNTIFS('Tracking Sheet'!$H$5:$H$504,Calculations!A82,'Tracking Sheet'!$AL$5:$AL$504,"active")</f>
        <v>0</v>
      </c>
      <c r="C82" s="29"/>
      <c r="F82" s="17" t="str">
        <f>'Demographic Descriptions'!M47</f>
        <v>Position 45</v>
      </c>
      <c r="G82" s="17">
        <f>COUNTIFS('Tracking Sheet'!$AM$5:$AM$504,F82,'Tracking Sheet'!$AL$5:$AL$504,"active")</f>
        <v>0</v>
      </c>
    </row>
    <row r="83" spans="1:7" ht="15.75" customHeight="1">
      <c r="A83" s="17" t="str">
        <f>'Demographic Descriptions'!D55</f>
        <v>Czech</v>
      </c>
      <c r="B83" s="17">
        <f>COUNTIFS('Tracking Sheet'!$H$5:$H$504,Calculations!A83,'Tracking Sheet'!$AL$5:$AL$504,"active")</f>
        <v>0</v>
      </c>
      <c r="C83" s="29"/>
      <c r="F83" s="17" t="str">
        <f>'Demographic Descriptions'!M48</f>
        <v>Position 46</v>
      </c>
      <c r="G83" s="17">
        <f>COUNTIFS('Tracking Sheet'!$AM$5:$AM$504,F83,'Tracking Sheet'!$AL$5:$AL$504,"active")</f>
        <v>0</v>
      </c>
    </row>
    <row r="84" spans="1:7" ht="15.75" customHeight="1">
      <c r="A84" s="17" t="str">
        <f>'Demographic Descriptions'!D56</f>
        <v>Danish</v>
      </c>
      <c r="B84" s="17">
        <f>COUNTIFS('Tracking Sheet'!$H$5:$H$504,Calculations!A84,'Tracking Sheet'!$AL$5:$AL$504,"active")</f>
        <v>0</v>
      </c>
      <c r="C84" s="29"/>
      <c r="F84" s="17" t="str">
        <f>'Demographic Descriptions'!M49</f>
        <v>Position 47</v>
      </c>
      <c r="G84" s="17">
        <f>COUNTIFS('Tracking Sheet'!$AM$5:$AM$504,F84,'Tracking Sheet'!$AL$5:$AL$504,"active")</f>
        <v>0</v>
      </c>
    </row>
    <row r="85" spans="1:7" ht="15.75" customHeight="1">
      <c r="A85" s="17" t="str">
        <f>'Demographic Descriptions'!D57</f>
        <v>Djiboutian</v>
      </c>
      <c r="B85" s="17">
        <f>COUNTIFS('Tracking Sheet'!$H$5:$H$504,Calculations!A85,'Tracking Sheet'!$AL$5:$AL$504,"active")</f>
        <v>0</v>
      </c>
      <c r="C85" s="29"/>
      <c r="F85" s="17" t="str">
        <f>'Demographic Descriptions'!M50</f>
        <v>Position 48</v>
      </c>
      <c r="G85" s="17">
        <f>COUNTIFS('Tracking Sheet'!$AM$5:$AM$504,F85,'Tracking Sheet'!$AL$5:$AL$504,"active")</f>
        <v>0</v>
      </c>
    </row>
    <row r="86" spans="1:7" ht="15.75" customHeight="1">
      <c r="A86" s="17" t="str">
        <f>'Demographic Descriptions'!D58</f>
        <v>Dominican</v>
      </c>
      <c r="B86" s="17">
        <f>COUNTIFS('Tracking Sheet'!$H$5:$H$504,Calculations!A86,'Tracking Sheet'!$AL$5:$AL$504,"active")</f>
        <v>0</v>
      </c>
      <c r="C86" s="29"/>
      <c r="F86" s="17" t="str">
        <f>'Demographic Descriptions'!M51</f>
        <v>Position 49</v>
      </c>
      <c r="G86" s="17">
        <f>COUNTIFS('Tracking Sheet'!$AM$5:$AM$504,F86,'Tracking Sheet'!$AL$5:$AL$504,"active")</f>
        <v>0</v>
      </c>
    </row>
    <row r="87" spans="1:7" ht="15.75" customHeight="1">
      <c r="A87" s="17" t="str">
        <f>'Demographic Descriptions'!D59</f>
        <v>Citizen of the Dominican Republic</v>
      </c>
      <c r="B87" s="17">
        <f>COUNTIFS('Tracking Sheet'!$H$5:$H$504,Calculations!A87,'Tracking Sheet'!$AL$5:$AL$504,"active")</f>
        <v>0</v>
      </c>
      <c r="C87" s="29"/>
      <c r="F87" s="17" t="str">
        <f>'Demographic Descriptions'!M52</f>
        <v>Position 50</v>
      </c>
      <c r="G87" s="17">
        <f>COUNTIFS('Tracking Sheet'!$AM$5:$AM$504,F87,'Tracking Sheet'!$AL$5:$AL$504,"active")</f>
        <v>0</v>
      </c>
    </row>
    <row r="88" spans="1:7" ht="15.75" customHeight="1">
      <c r="A88" s="17" t="str">
        <f>'Demographic Descriptions'!D60</f>
        <v>Dutch</v>
      </c>
      <c r="B88" s="17">
        <f>COUNTIFS('Tracking Sheet'!$H$5:$H$504,Calculations!A88,'Tracking Sheet'!$AL$5:$AL$504,"active")</f>
        <v>0</v>
      </c>
      <c r="C88" s="29"/>
    </row>
    <row r="89" spans="1:7" ht="15.75" customHeight="1">
      <c r="A89" s="17" t="str">
        <f>'Demographic Descriptions'!D61</f>
        <v>East Timorese</v>
      </c>
      <c r="B89" s="17">
        <f>COUNTIFS('Tracking Sheet'!$H$5:$H$504,Calculations!A89,'Tracking Sheet'!$AL$5:$AL$504,"active")</f>
        <v>0</v>
      </c>
      <c r="C89" s="29"/>
      <c r="F89" s="16" t="s">
        <v>871</v>
      </c>
    </row>
    <row r="90" spans="1:7" ht="15.75" customHeight="1">
      <c r="A90" s="17" t="str">
        <f>'Demographic Descriptions'!D62</f>
        <v>Ecuadorean</v>
      </c>
      <c r="B90" s="17">
        <f>COUNTIFS('Tracking Sheet'!$H$5:$H$504,Calculations!A90,'Tracking Sheet'!$AL$5:$AL$504,"active")</f>
        <v>0</v>
      </c>
      <c r="C90" s="29"/>
      <c r="F90" s="17" t="str">
        <f>'Demographic Descriptions'!N3</f>
        <v>Manager 1</v>
      </c>
      <c r="G90" s="19">
        <f>COUNTIFS('Tracking Sheet'!$AP$5:$AP$504,Calculations!F90,'Tracking Sheet'!$AL$5:$AL$504,"active")</f>
        <v>1</v>
      </c>
    </row>
    <row r="91" spans="1:7" ht="15.75" customHeight="1">
      <c r="A91" s="17" t="str">
        <f>'Demographic Descriptions'!D63</f>
        <v>Egyptian</v>
      </c>
      <c r="B91" s="17">
        <f>COUNTIFS('Tracking Sheet'!$H$5:$H$504,Calculations!A91,'Tracking Sheet'!$AL$5:$AL$504,"active")</f>
        <v>0</v>
      </c>
      <c r="C91" s="29"/>
      <c r="F91" s="17" t="str">
        <f>'Demographic Descriptions'!N4</f>
        <v>Manager 2</v>
      </c>
      <c r="G91" s="19">
        <f>COUNTIFS('Tracking Sheet'!$AP$5:$AP$504,Calculations!F91,'Tracking Sheet'!$AL$5:$AL$504,"active")</f>
        <v>3</v>
      </c>
    </row>
    <row r="92" spans="1:7" ht="15.75" customHeight="1">
      <c r="A92" s="17" t="str">
        <f>'Demographic Descriptions'!D64</f>
        <v>Emirati</v>
      </c>
      <c r="B92" s="17">
        <f>COUNTIFS('Tracking Sheet'!$H$5:$H$504,Calculations!A92,'Tracking Sheet'!$AL$5:$AL$504,"active")</f>
        <v>0</v>
      </c>
      <c r="C92" s="29"/>
      <c r="F92" s="17" t="str">
        <f>'Demographic Descriptions'!N5</f>
        <v>Manager 3</v>
      </c>
      <c r="G92" s="19">
        <f>COUNTIFS('Tracking Sheet'!$AP$5:$AP$504,Calculations!F92,'Tracking Sheet'!$AL$5:$AL$504,"active")</f>
        <v>3</v>
      </c>
    </row>
    <row r="93" spans="1:7" ht="15.75" customHeight="1">
      <c r="A93" s="17" t="str">
        <f>'Demographic Descriptions'!D65</f>
        <v>English</v>
      </c>
      <c r="B93" s="17">
        <f>COUNTIFS('Tracking Sheet'!$H$5:$H$504,Calculations!A93,'Tracking Sheet'!$AL$5:$AL$504,"active")</f>
        <v>0</v>
      </c>
      <c r="C93" s="29"/>
      <c r="F93" s="17" t="str">
        <f>'Demographic Descriptions'!N6</f>
        <v>Manager 4</v>
      </c>
      <c r="G93" s="19">
        <f>COUNTIFS('Tracking Sheet'!$AP$5:$AP$504,Calculations!F93,'Tracking Sheet'!$AL$5:$AL$504,"active")</f>
        <v>3</v>
      </c>
    </row>
    <row r="94" spans="1:7" ht="15.75" customHeight="1">
      <c r="A94" s="17" t="str">
        <f>'Demographic Descriptions'!D66</f>
        <v>Equatorial Guinean</v>
      </c>
      <c r="B94" s="17">
        <f>COUNTIFS('Tracking Sheet'!$H$5:$H$504,Calculations!A94,'Tracking Sheet'!$AL$5:$AL$504,"active")</f>
        <v>0</v>
      </c>
      <c r="C94" s="29"/>
      <c r="F94" s="17" t="str">
        <f>'Demographic Descriptions'!N7</f>
        <v>Manager 5</v>
      </c>
      <c r="G94" s="19">
        <f>COUNTIFS('Tracking Sheet'!$AP$5:$AP$504,Calculations!F94,'Tracking Sheet'!$AL$5:$AL$504,"active")</f>
        <v>2</v>
      </c>
    </row>
    <row r="95" spans="1:7" ht="15.75" customHeight="1">
      <c r="A95" s="17" t="str">
        <f>'Demographic Descriptions'!D67</f>
        <v>Eritrean</v>
      </c>
      <c r="B95" s="17">
        <f>COUNTIFS('Tracking Sheet'!$H$5:$H$504,Calculations!A95,'Tracking Sheet'!$AL$5:$AL$504,"active")</f>
        <v>0</v>
      </c>
      <c r="C95" s="29"/>
      <c r="F95" s="17" t="str">
        <f>'Demographic Descriptions'!N8</f>
        <v>Manager 6</v>
      </c>
      <c r="G95" s="19">
        <f>COUNTIFS('Tracking Sheet'!$AP$5:$AP$504,Calculations!F95,'Tracking Sheet'!$AL$5:$AL$504,"active")</f>
        <v>2</v>
      </c>
    </row>
    <row r="96" spans="1:7" ht="15.75" customHeight="1">
      <c r="A96" s="17" t="str">
        <f>'Demographic Descriptions'!D68</f>
        <v>Estonian</v>
      </c>
      <c r="B96" s="17">
        <f>COUNTIFS('Tracking Sheet'!$H$5:$H$504,Calculations!A96,'Tracking Sheet'!$AL$5:$AL$504,"active")</f>
        <v>0</v>
      </c>
      <c r="C96" s="29"/>
      <c r="F96" s="17" t="str">
        <f>'Demographic Descriptions'!N9</f>
        <v>Manager 7</v>
      </c>
      <c r="G96" s="19">
        <f>COUNTIFS('Tracking Sheet'!$AP$5:$AP$504,Calculations!F96,'Tracking Sheet'!$AL$5:$AL$504,"active")</f>
        <v>1</v>
      </c>
    </row>
    <row r="97" spans="1:9" ht="15.75" customHeight="1">
      <c r="A97" s="17" t="str">
        <f>'Demographic Descriptions'!D69</f>
        <v>Ethiopian</v>
      </c>
      <c r="B97" s="17">
        <f>COUNTIFS('Tracking Sheet'!$H$5:$H$504,Calculations!A97,'Tracking Sheet'!$AL$5:$AL$504,"active")</f>
        <v>0</v>
      </c>
      <c r="C97" s="29"/>
      <c r="F97" s="17" t="str">
        <f>'Demographic Descriptions'!N10</f>
        <v>Manager 8</v>
      </c>
      <c r="G97" s="19">
        <f>COUNTIFS('Tracking Sheet'!$AP$5:$AP$504,Calculations!F97,'Tracking Sheet'!$AL$5:$AL$504,"active")</f>
        <v>1</v>
      </c>
    </row>
    <row r="98" spans="1:9" ht="15.75" customHeight="1">
      <c r="A98" s="17" t="str">
        <f>'Demographic Descriptions'!D70</f>
        <v>Faroese</v>
      </c>
      <c r="B98" s="17">
        <f>COUNTIFS('Tracking Sheet'!$H$5:$H$504,Calculations!A98,'Tracking Sheet'!$AL$5:$AL$504,"active")</f>
        <v>0</v>
      </c>
      <c r="C98" s="29"/>
      <c r="F98" s="17" t="str">
        <f>'Demographic Descriptions'!N11</f>
        <v>Manager 9</v>
      </c>
      <c r="G98" s="19">
        <f>COUNTIFS('Tracking Sheet'!$AP$5:$AP$504,Calculations!F98,'Tracking Sheet'!$AL$5:$AL$504,"active")</f>
        <v>3</v>
      </c>
    </row>
    <row r="99" spans="1:9" ht="15.75" customHeight="1">
      <c r="A99" s="17" t="str">
        <f>'Demographic Descriptions'!D71</f>
        <v>Fijian</v>
      </c>
      <c r="B99" s="17">
        <f>COUNTIFS('Tracking Sheet'!$H$5:$H$504,Calculations!A99,'Tracking Sheet'!$AL$5:$AL$504,"active")</f>
        <v>0</v>
      </c>
      <c r="C99" s="29"/>
      <c r="F99" s="17" t="str">
        <f>'Demographic Descriptions'!N12</f>
        <v>Manager 10</v>
      </c>
      <c r="G99" s="19">
        <f>COUNTIFS('Tracking Sheet'!$AP$5:$AP$504,Calculations!F99,'Tracking Sheet'!$AL$5:$AL$504,"active")</f>
        <v>2</v>
      </c>
    </row>
    <row r="100" spans="1:9" ht="15.75" customHeight="1">
      <c r="A100" s="17" t="str">
        <f>'Demographic Descriptions'!D72</f>
        <v>Filipino</v>
      </c>
      <c r="B100" s="17">
        <f>COUNTIFS('Tracking Sheet'!$H$5:$H$504,Calculations!A100,'Tracking Sheet'!$AL$5:$AL$504,"active")</f>
        <v>0</v>
      </c>
      <c r="C100" s="29"/>
      <c r="F100" s="17" t="str">
        <f>'Demographic Descriptions'!N13</f>
        <v>Manager 11</v>
      </c>
      <c r="G100" s="19">
        <f>COUNTIFS('Tracking Sheet'!$AP$5:$AP$504,Calculations!F100,'Tracking Sheet'!$AL$5:$AL$504,"active")</f>
        <v>0</v>
      </c>
    </row>
    <row r="101" spans="1:9" ht="15.75" customHeight="1">
      <c r="A101" s="17" t="str">
        <f>'Demographic Descriptions'!D73</f>
        <v>Finnish</v>
      </c>
      <c r="B101" s="17">
        <f>COUNTIFS('Tracking Sheet'!$H$5:$H$504,Calculations!A101,'Tracking Sheet'!$AL$5:$AL$504,"active")</f>
        <v>0</v>
      </c>
      <c r="C101" s="29"/>
      <c r="F101" s="17" t="str">
        <f>'Demographic Descriptions'!N14</f>
        <v>Manager 12</v>
      </c>
      <c r="G101" s="19">
        <f>COUNTIFS('Tracking Sheet'!$AP$5:$AP$504,Calculations!F101,'Tracking Sheet'!$AL$5:$AL$504,"active")</f>
        <v>0</v>
      </c>
    </row>
    <row r="102" spans="1:9" ht="15.75" customHeight="1">
      <c r="A102" s="17" t="str">
        <f>'Demographic Descriptions'!D74</f>
        <v>French</v>
      </c>
      <c r="B102" s="17">
        <f>COUNTIFS('Tracking Sheet'!$H$5:$H$504,Calculations!A102,'Tracking Sheet'!$AL$5:$AL$504,"active")</f>
        <v>1</v>
      </c>
      <c r="C102" s="29"/>
      <c r="F102" s="17" t="str">
        <f>'Demographic Descriptions'!N15</f>
        <v>Manager 13</v>
      </c>
      <c r="G102" s="19">
        <f>COUNTIFS('Tracking Sheet'!$AP$5:$AP$504,Calculations!F102,'Tracking Sheet'!$AL$5:$AL$504,"active")</f>
        <v>0</v>
      </c>
    </row>
    <row r="103" spans="1:9" ht="15.75" customHeight="1">
      <c r="A103" s="17" t="str">
        <f>'Demographic Descriptions'!D75</f>
        <v>Gabonese</v>
      </c>
      <c r="B103" s="17">
        <f>COUNTIFS('Tracking Sheet'!$H$5:$H$504,Calculations!A103,'Tracking Sheet'!$AL$5:$AL$504,"active")</f>
        <v>0</v>
      </c>
      <c r="C103" s="29"/>
      <c r="F103" s="17" t="str">
        <f>'Demographic Descriptions'!N16</f>
        <v>Manager 14</v>
      </c>
      <c r="G103" s="19">
        <f>COUNTIFS('Tracking Sheet'!$AP$5:$AP$504,Calculations!F103,'Tracking Sheet'!$AL$5:$AL$504,"active")</f>
        <v>0</v>
      </c>
    </row>
    <row r="104" spans="1:9" ht="15.75" customHeight="1">
      <c r="A104" s="17" t="str">
        <f>'Demographic Descriptions'!D76</f>
        <v>Gambian</v>
      </c>
      <c r="B104" s="17">
        <f>COUNTIFS('Tracking Sheet'!$H$5:$H$504,Calculations!A104,'Tracking Sheet'!$AL$5:$AL$504,"active")</f>
        <v>0</v>
      </c>
      <c r="C104" s="29"/>
      <c r="F104" s="17" t="str">
        <f>'Demographic Descriptions'!N17</f>
        <v>Manager 15</v>
      </c>
      <c r="G104" s="19">
        <f>COUNTIFS('Tracking Sheet'!$AP$5:$AP$504,Calculations!F104,'Tracking Sheet'!$AL$5:$AL$504,"active")</f>
        <v>0</v>
      </c>
    </row>
    <row r="105" spans="1:9" ht="15.75" customHeight="1">
      <c r="A105" s="17" t="str">
        <f>'Demographic Descriptions'!D77</f>
        <v>Georgian</v>
      </c>
      <c r="B105" s="17">
        <f>COUNTIFS('Tracking Sheet'!$H$5:$H$504,Calculations!A105,'Tracking Sheet'!$AL$5:$AL$504,"active")</f>
        <v>0</v>
      </c>
      <c r="C105" s="29"/>
    </row>
    <row r="106" spans="1:9" ht="15.75" customHeight="1">
      <c r="A106" s="17" t="str">
        <f>'Demographic Descriptions'!D78</f>
        <v>German</v>
      </c>
      <c r="B106" s="17">
        <f>COUNTIFS('Tracking Sheet'!$H$5:$H$504,Calculations!A106,'Tracking Sheet'!$AL$5:$AL$504,"active")</f>
        <v>0</v>
      </c>
      <c r="C106" s="29"/>
      <c r="F106" s="16" t="s">
        <v>68</v>
      </c>
    </row>
    <row r="107" spans="1:9" ht="15.75" customHeight="1">
      <c r="A107" s="17" t="str">
        <f>'Demographic Descriptions'!D79</f>
        <v>Ghanaian</v>
      </c>
      <c r="B107" s="17">
        <f>COUNTIFS('Tracking Sheet'!$H$5:$H$504,Calculations!A107,'Tracking Sheet'!$AL$5:$AL$504,"active")</f>
        <v>0</v>
      </c>
      <c r="C107" s="29"/>
      <c r="F107" s="17" t="s">
        <v>872</v>
      </c>
      <c r="G107" s="17">
        <f ca="1">COUNTIFS('Tracking Sheet'!$AJ$5:$AJ$504,"&lt;1",'Tracking Sheet'!$AL$5:$AL$504,"active")</f>
        <v>0</v>
      </c>
      <c r="H107" s="17" t="str">
        <f>F107</f>
        <v>&lt;1 year</v>
      </c>
      <c r="I107" s="17" t="e">
        <f ca="1">IF(G107=0,NA(),G107)</f>
        <v>#N/A</v>
      </c>
    </row>
    <row r="108" spans="1:9" ht="15.75" customHeight="1">
      <c r="A108" s="17" t="str">
        <f>'Demographic Descriptions'!D80</f>
        <v>Gibraltarian</v>
      </c>
      <c r="B108" s="17">
        <f>COUNTIFS('Tracking Sheet'!$H$5:$H$504,Calculations!A108,'Tracking Sheet'!$AL$5:$AL$504,"active")</f>
        <v>0</v>
      </c>
      <c r="C108" s="29"/>
      <c r="F108" s="17" t="s">
        <v>873</v>
      </c>
      <c r="G108" s="17">
        <f ca="1">COUNTIFS('Tracking Sheet'!$AJ$5:$AJ$504,"&lt;=5",'Tracking Sheet'!$AJ$5:$AJ$504,"&gt;=1",'Tracking Sheet'!$AL$5:$AL$504,"active")</f>
        <v>13</v>
      </c>
      <c r="H108" s="17" t="str">
        <f t="shared" ref="H108:H114" si="8">F108</f>
        <v>1-5 years</v>
      </c>
      <c r="I108" s="17">
        <f t="shared" ref="I108:I114" ca="1" si="9">IF(G108=0,NA(),G108)</f>
        <v>13</v>
      </c>
    </row>
    <row r="109" spans="1:9" ht="15.75" customHeight="1">
      <c r="A109" s="17" t="str">
        <f>'Demographic Descriptions'!D81</f>
        <v>Greek</v>
      </c>
      <c r="B109" s="17">
        <f>COUNTIFS('Tracking Sheet'!$H$5:$H$504,Calculations!A109,'Tracking Sheet'!$AL$5:$AL$504,"active")</f>
        <v>0</v>
      </c>
      <c r="C109" s="29"/>
      <c r="F109" s="17" t="s">
        <v>874</v>
      </c>
      <c r="G109" s="17">
        <f ca="1">COUNTIFS('Tracking Sheet'!$AJ$5:$AJ$504,"&lt;=10",'Tracking Sheet'!$AJ$5:$AJ$504,"&gt;=6",'Tracking Sheet'!$AL$5:$AL$504,"active")</f>
        <v>8</v>
      </c>
      <c r="H109" s="17" t="str">
        <f t="shared" si="8"/>
        <v>6-10 years</v>
      </c>
      <c r="I109" s="17">
        <f t="shared" ca="1" si="9"/>
        <v>8</v>
      </c>
    </row>
    <row r="110" spans="1:9" ht="15.75" customHeight="1">
      <c r="A110" s="17" t="str">
        <f>'Demographic Descriptions'!D82</f>
        <v>Greenlandic</v>
      </c>
      <c r="B110" s="17">
        <f>COUNTIFS('Tracking Sheet'!$H$5:$H$504,Calculations!A110,'Tracking Sheet'!$AL$5:$AL$504,"active")</f>
        <v>0</v>
      </c>
      <c r="C110" s="29"/>
      <c r="F110" s="17" t="s">
        <v>875</v>
      </c>
      <c r="G110" s="17">
        <f ca="1">COUNTIFS('Tracking Sheet'!$AJ$5:$AJ$504,"&lt;=15",'Tracking Sheet'!$AJ$5:$AJ$504,"&gt;=11",'Tracking Sheet'!$AL$5:$AL$504,"active")</f>
        <v>0</v>
      </c>
      <c r="H110" s="17" t="str">
        <f t="shared" si="8"/>
        <v>11-15 years</v>
      </c>
      <c r="I110" s="17" t="e">
        <f t="shared" ca="1" si="9"/>
        <v>#N/A</v>
      </c>
    </row>
    <row r="111" spans="1:9" ht="15.75" customHeight="1">
      <c r="A111" s="17" t="str">
        <f>'Demographic Descriptions'!D83</f>
        <v>Grenadian</v>
      </c>
      <c r="B111" s="17">
        <f>COUNTIFS('Tracking Sheet'!$H$5:$H$504,Calculations!A111,'Tracking Sheet'!$AL$5:$AL$504,"active")</f>
        <v>0</v>
      </c>
      <c r="C111" s="29"/>
      <c r="F111" s="17" t="s">
        <v>876</v>
      </c>
      <c r="G111" s="17">
        <f ca="1">COUNTIFS('Tracking Sheet'!$AJ$5:$AJ$504,"&lt;=20",'Tracking Sheet'!$AJ$5:$AJ$504,"&gt;=16",'Tracking Sheet'!$AL$5:$AL$504,"active")</f>
        <v>0</v>
      </c>
      <c r="H111" s="17" t="str">
        <f t="shared" si="8"/>
        <v>16-20 years</v>
      </c>
      <c r="I111" s="17" t="e">
        <f t="shared" ca="1" si="9"/>
        <v>#N/A</v>
      </c>
    </row>
    <row r="112" spans="1:9" ht="15.75" customHeight="1">
      <c r="A112" s="17" t="str">
        <f>'Demographic Descriptions'!D84</f>
        <v>Guamanian</v>
      </c>
      <c r="B112" s="17">
        <f>COUNTIFS('Tracking Sheet'!$H$5:$H$504,Calculations!A112,'Tracking Sheet'!$AL$5:$AL$504,"active")</f>
        <v>0</v>
      </c>
      <c r="C112" s="29"/>
      <c r="F112" s="17" t="s">
        <v>877</v>
      </c>
      <c r="G112" s="17">
        <f ca="1">COUNTIFS('Tracking Sheet'!$AJ$5:$AJ$504,"&lt;=25",'Tracking Sheet'!$AJ$5:$AJ$504,"&gt;=21",'Tracking Sheet'!$AL$5:$AL$504,"active")</f>
        <v>0</v>
      </c>
      <c r="H112" s="17" t="str">
        <f t="shared" si="8"/>
        <v>21-25 years</v>
      </c>
      <c r="I112" s="17" t="e">
        <f t="shared" ca="1" si="9"/>
        <v>#N/A</v>
      </c>
    </row>
    <row r="113" spans="1:9" ht="15.75" customHeight="1">
      <c r="A113" s="17" t="str">
        <f>'Demographic Descriptions'!D85</f>
        <v>Guatemalan</v>
      </c>
      <c r="B113" s="17">
        <f>COUNTIFS('Tracking Sheet'!$H$5:$H$504,Calculations!A113,'Tracking Sheet'!$AL$5:$AL$504,"active")</f>
        <v>0</v>
      </c>
      <c r="C113" s="29"/>
      <c r="F113" s="17" t="s">
        <v>878</v>
      </c>
      <c r="G113" s="17">
        <f ca="1">COUNTIFS('Tracking Sheet'!$AJ$5:$AJ$504,"&lt;=30",'Tracking Sheet'!$AJ$5:$AJ$504,"&gt;=26",'Tracking Sheet'!$AL$5:$AL$504,"active")</f>
        <v>0</v>
      </c>
      <c r="H113" s="17" t="str">
        <f t="shared" si="8"/>
        <v>26-30 years</v>
      </c>
      <c r="I113" s="17" t="e">
        <f t="shared" ca="1" si="9"/>
        <v>#N/A</v>
      </c>
    </row>
    <row r="114" spans="1:9" ht="15.75" customHeight="1">
      <c r="A114" s="17" t="str">
        <f>'Demographic Descriptions'!D86</f>
        <v>Citizen of Guinea-Bissau</v>
      </c>
      <c r="B114" s="17">
        <f>COUNTIFS('Tracking Sheet'!$H$5:$H$504,Calculations!A114,'Tracking Sheet'!$AL$5:$AL$504,"active")</f>
        <v>0</v>
      </c>
      <c r="C114" s="29"/>
      <c r="F114" s="17" t="s">
        <v>879</v>
      </c>
      <c r="G114" s="17">
        <f ca="1">COUNTIFS('Tracking Sheet'!$AJ$5:$AJ$504,"&gt;30",'Tracking Sheet'!$AL$5:$AL$504,"active")</f>
        <v>0</v>
      </c>
      <c r="H114" s="17" t="str">
        <f t="shared" si="8"/>
        <v>&gt;30 years</v>
      </c>
      <c r="I114" s="17" t="e">
        <f t="shared" ca="1" si="9"/>
        <v>#N/A</v>
      </c>
    </row>
    <row r="115" spans="1:9" ht="15.75" customHeight="1">
      <c r="A115" s="17" t="str">
        <f>'Demographic Descriptions'!D87</f>
        <v>Guinean</v>
      </c>
      <c r="B115" s="17">
        <f>COUNTIFS('Tracking Sheet'!$H$5:$H$504,Calculations!A115,'Tracking Sheet'!$AL$5:$AL$504,"active")</f>
        <v>0</v>
      </c>
      <c r="C115" s="29"/>
    </row>
    <row r="116" spans="1:9" ht="15.75" customHeight="1">
      <c r="A116" s="17" t="str">
        <f>'Demographic Descriptions'!D88</f>
        <v>Guyanese</v>
      </c>
      <c r="B116" s="17">
        <f>COUNTIFS('Tracking Sheet'!$H$5:$H$504,Calculations!A116,'Tracking Sheet'!$AL$5:$AL$504,"active")</f>
        <v>0</v>
      </c>
      <c r="C116" s="29"/>
      <c r="F116" s="16" t="s">
        <v>880</v>
      </c>
    </row>
    <row r="117" spans="1:9" ht="15.75" customHeight="1">
      <c r="A117" s="17" t="str">
        <f>'Demographic Descriptions'!D89</f>
        <v>Haitian</v>
      </c>
      <c r="B117" s="17">
        <f>COUNTIFS('Tracking Sheet'!$H$5:$H$504,Calculations!A117,'Tracking Sheet'!$AL$5:$AL$504,"active")</f>
        <v>0</v>
      </c>
      <c r="C117" s="29"/>
      <c r="F117" s="17" t="str">
        <f>'Demographic Descriptions'!Q3</f>
        <v>Employee</v>
      </c>
      <c r="G117" s="17">
        <f>COUNTIFS('Tracking Sheet'!$AO$5:$AO$504,Calculations!F117,'Tracking Sheet'!$AL$5:$AL$504,"active")</f>
        <v>8</v>
      </c>
      <c r="H117" s="17" t="str">
        <f>F117</f>
        <v>Employee</v>
      </c>
      <c r="I117" s="17">
        <f>IF(G117=0,NA(),G117)</f>
        <v>8</v>
      </c>
    </row>
    <row r="118" spans="1:9" ht="15.75" customHeight="1">
      <c r="A118" s="17" t="str">
        <f>'Demographic Descriptions'!D90</f>
        <v>Honduran</v>
      </c>
      <c r="B118" s="17">
        <f>COUNTIFS('Tracking Sheet'!$H$5:$H$504,Calculations!A118,'Tracking Sheet'!$AL$5:$AL$504,"active")</f>
        <v>0</v>
      </c>
      <c r="C118" s="29"/>
      <c r="F118" s="17" t="str">
        <f>'Demographic Descriptions'!Q4</f>
        <v>Junior management</v>
      </c>
      <c r="G118" s="17">
        <f>COUNTIFS('Tracking Sheet'!$AO$5:$AO$504,Calculations!F118,'Tracking Sheet'!$AL$5:$AL$504,"active")</f>
        <v>4</v>
      </c>
      <c r="H118" s="17" t="str">
        <f t="shared" ref="H118:H122" si="10">F118</f>
        <v>Junior management</v>
      </c>
      <c r="I118" s="17">
        <f t="shared" ref="I118:I122" si="11">IF(G118=0,NA(),G118)</f>
        <v>4</v>
      </c>
    </row>
    <row r="119" spans="1:9" ht="15.75" customHeight="1">
      <c r="A119" s="17" t="str">
        <f>'Demographic Descriptions'!D91</f>
        <v>Hong Konger</v>
      </c>
      <c r="B119" s="17">
        <f>COUNTIFS('Tracking Sheet'!$H$5:$H$504,Calculations!A119,'Tracking Sheet'!$AL$5:$AL$504,"active")</f>
        <v>0</v>
      </c>
      <c r="C119" s="29"/>
      <c r="F119" s="17" t="str">
        <f>'Demographic Descriptions'!Q5</f>
        <v>Management</v>
      </c>
      <c r="G119" s="17">
        <f>COUNTIFS('Tracking Sheet'!$AO$5:$AO$504,Calculations!F119,'Tracking Sheet'!$AL$5:$AL$504,"active")</f>
        <v>5</v>
      </c>
      <c r="H119" s="17" t="str">
        <f t="shared" si="10"/>
        <v>Management</v>
      </c>
      <c r="I119" s="17">
        <f t="shared" si="11"/>
        <v>5</v>
      </c>
    </row>
    <row r="120" spans="1:9" ht="15.75" customHeight="1">
      <c r="A120" s="17" t="str">
        <f>'Demographic Descriptions'!D92</f>
        <v>Hungarian</v>
      </c>
      <c r="B120" s="17">
        <f>COUNTIFS('Tracking Sheet'!$H$5:$H$504,Calculations!A120,'Tracking Sheet'!$AL$5:$AL$504,"active")</f>
        <v>1</v>
      </c>
      <c r="C120" s="29"/>
      <c r="F120" s="17" t="str">
        <f>'Demographic Descriptions'!Q6</f>
        <v>Senior management</v>
      </c>
      <c r="G120" s="17">
        <f>COUNTIFS('Tracking Sheet'!$AO$5:$AO$504,Calculations!F120,'Tracking Sheet'!$AL$5:$AL$504,"active")</f>
        <v>2</v>
      </c>
      <c r="H120" s="17" t="str">
        <f t="shared" si="10"/>
        <v>Senior management</v>
      </c>
      <c r="I120" s="17">
        <f t="shared" si="11"/>
        <v>2</v>
      </c>
    </row>
    <row r="121" spans="1:9" ht="15.75" customHeight="1">
      <c r="A121" s="17" t="str">
        <f>'Demographic Descriptions'!D93</f>
        <v>Icelandic</v>
      </c>
      <c r="B121" s="17">
        <f>COUNTIFS('Tracking Sheet'!$H$5:$H$504,Calculations!A121,'Tracking Sheet'!$AL$5:$AL$504,"active")</f>
        <v>0</v>
      </c>
      <c r="C121" s="29"/>
      <c r="F121" s="17" t="str">
        <f>'Demographic Descriptions'!Q7</f>
        <v>Specialist</v>
      </c>
      <c r="G121" s="17">
        <f>COUNTIFS('Tracking Sheet'!$AO$5:$AO$504,Calculations!F121,'Tracking Sheet'!$AL$5:$AL$504,"active")</f>
        <v>2</v>
      </c>
      <c r="H121" s="17" t="str">
        <f t="shared" si="10"/>
        <v>Specialist</v>
      </c>
      <c r="I121" s="17">
        <f t="shared" si="11"/>
        <v>2</v>
      </c>
    </row>
    <row r="122" spans="1:9" ht="15.75" customHeight="1">
      <c r="A122" s="17" t="str">
        <f>'Demographic Descriptions'!D94</f>
        <v>Indian</v>
      </c>
      <c r="B122" s="17">
        <f>COUNTIFS('Tracking Sheet'!$H$5:$H$504,Calculations!A122,'Tracking Sheet'!$AL$5:$AL$504,"active")</f>
        <v>1</v>
      </c>
      <c r="C122" s="29"/>
      <c r="F122" s="17" t="str">
        <f>'Demographic Descriptions'!Q8</f>
        <v>Executive</v>
      </c>
      <c r="G122" s="17">
        <f>COUNTIFS('Tracking Sheet'!$AO$5:$AO$504,Calculations!F122,'Tracking Sheet'!$AL$5:$AL$504,"active")</f>
        <v>0</v>
      </c>
      <c r="H122" s="17" t="str">
        <f t="shared" si="10"/>
        <v>Executive</v>
      </c>
      <c r="I122" s="17" t="e">
        <f t="shared" si="11"/>
        <v>#N/A</v>
      </c>
    </row>
    <row r="123" spans="1:9" ht="15.75" customHeight="1">
      <c r="A123" s="17" t="str">
        <f>'Demographic Descriptions'!D95</f>
        <v>Indonesian</v>
      </c>
      <c r="B123" s="17">
        <f>COUNTIFS('Tracking Sheet'!$H$5:$H$504,Calculations!A123,'Tracking Sheet'!$AL$5:$AL$504,"active")</f>
        <v>0</v>
      </c>
      <c r="C123" s="29"/>
    </row>
    <row r="124" spans="1:9" ht="15.75" customHeight="1">
      <c r="A124" s="17" t="str">
        <f>'Demographic Descriptions'!D96</f>
        <v>Iranian</v>
      </c>
      <c r="B124" s="17">
        <f>COUNTIFS('Tracking Sheet'!$H$5:$H$504,Calculations!A124,'Tracking Sheet'!$AL$5:$AL$504,"active")</f>
        <v>0</v>
      </c>
      <c r="C124" s="29"/>
      <c r="F124" s="16" t="s">
        <v>881</v>
      </c>
    </row>
    <row r="125" spans="1:9" ht="15.75" customHeight="1">
      <c r="A125" s="17" t="str">
        <f>'Demographic Descriptions'!D97</f>
        <v>Iraqi</v>
      </c>
      <c r="B125" s="17">
        <f>COUNTIFS('Tracking Sheet'!$H$5:$H$504,Calculations!A125,'Tracking Sheet'!$AL$5:$AL$504,"active")</f>
        <v>0</v>
      </c>
      <c r="C125" s="29"/>
      <c r="F125" s="17">
        <f ca="1">SUMIF('Tracking Sheet'!AL5:AL504,"active",'Tracking Sheet'!AJ5:AJ504)</f>
        <v>88</v>
      </c>
    </row>
    <row r="126" spans="1:9" ht="15.75" customHeight="1">
      <c r="A126" s="17" t="str">
        <f>'Demographic Descriptions'!D98</f>
        <v>Irish</v>
      </c>
      <c r="B126" s="17">
        <f>COUNTIFS('Tracking Sheet'!$H$5:$H$504,Calculations!A126,'Tracking Sheet'!$AL$5:$AL$504,"active")</f>
        <v>0</v>
      </c>
      <c r="C126" s="29"/>
    </row>
    <row r="127" spans="1:9" ht="15.75" customHeight="1">
      <c r="A127" s="17" t="str">
        <f>'Demographic Descriptions'!D99</f>
        <v>Israeli</v>
      </c>
      <c r="B127" s="17">
        <f>COUNTIFS('Tracking Sheet'!$H$5:$H$504,Calculations!A127,'Tracking Sheet'!$AL$5:$AL$504,"active")</f>
        <v>0</v>
      </c>
      <c r="C127" s="29"/>
      <c r="F127" s="16" t="s">
        <v>882</v>
      </c>
    </row>
    <row r="128" spans="1:9" ht="15.75" customHeight="1">
      <c r="A128" s="17" t="str">
        <f>'Demographic Descriptions'!D100</f>
        <v>Italian</v>
      </c>
      <c r="B128" s="17">
        <f>COUNTIFS('Tracking Sheet'!$H$5:$H$504,Calculations!A128,'Tracking Sheet'!$AL$5:$AL$504,"active")</f>
        <v>0</v>
      </c>
      <c r="C128" s="29"/>
      <c r="F128" s="17" t="s">
        <v>21</v>
      </c>
      <c r="G128" s="17">
        <f ca="1">COUNTIFS('Tracking Sheet'!$AI$5:$AI$504,'Demographic Descriptions'!R3,'Tracking Sheet'!$AX$5:$AX$504,Calculations!K1)</f>
        <v>0</v>
      </c>
    </row>
    <row r="129" spans="1:14" ht="15.75" customHeight="1">
      <c r="A129" s="17" t="str">
        <f>'Demographic Descriptions'!D101</f>
        <v>Ivorian</v>
      </c>
      <c r="B129" s="17">
        <f>COUNTIFS('Tracking Sheet'!$H$5:$H$504,Calculations!A129,'Tracking Sheet'!$AL$5:$AL$504,"active")</f>
        <v>0</v>
      </c>
      <c r="C129" s="29"/>
      <c r="F129" s="17" t="s">
        <v>22</v>
      </c>
      <c r="G129" s="17">
        <f ca="1">COUNTIFS('Tracking Sheet'!$AI$5:$AI$504,'Demographic Descriptions'!R4,'Tracking Sheet'!$AX$5:$AX$504,Calculations!K1)</f>
        <v>0</v>
      </c>
    </row>
    <row r="130" spans="1:14" ht="15.75" customHeight="1">
      <c r="A130" s="17" t="str">
        <f>'Demographic Descriptions'!D102</f>
        <v>Jamaican</v>
      </c>
      <c r="B130" s="17">
        <f>COUNTIFS('Tracking Sheet'!$H$5:$H$504,Calculations!A130,'Tracking Sheet'!$AL$5:$AL$504,"active")</f>
        <v>0</v>
      </c>
      <c r="C130" s="29"/>
      <c r="F130" s="17" t="s">
        <v>25</v>
      </c>
      <c r="G130" s="17">
        <f ca="1">COUNTIFS('Tracking Sheet'!$AI$5:$AI$504,'Demographic Descriptions'!R5,'Tracking Sheet'!$AX$5:$AX$504,Calculations!K1)</f>
        <v>0</v>
      </c>
    </row>
    <row r="131" spans="1:14" ht="15.75" customHeight="1">
      <c r="A131" s="17" t="str">
        <f>'Demographic Descriptions'!D103</f>
        <v>Japanese</v>
      </c>
      <c r="B131" s="17">
        <f>COUNTIFS('Tracking Sheet'!$H$5:$H$504,Calculations!A131,'Tracking Sheet'!$AL$5:$AL$504,"active")</f>
        <v>2</v>
      </c>
      <c r="C131" s="29"/>
      <c r="F131" s="17" t="s">
        <v>26</v>
      </c>
      <c r="G131" s="17">
        <f ca="1">COUNTIFS('Tracking Sheet'!$AI$5:$AI$504,'Demographic Descriptions'!R6,'Tracking Sheet'!$AX$5:$AX$504,Calculations!K1)</f>
        <v>0</v>
      </c>
    </row>
    <row r="132" spans="1:14" ht="15.75" customHeight="1">
      <c r="A132" s="17" t="str">
        <f>'Demographic Descriptions'!D104</f>
        <v>Jordanian</v>
      </c>
      <c r="B132" s="17">
        <f>COUNTIFS('Tracking Sheet'!$H$5:$H$504,Calculations!A132,'Tracking Sheet'!$AL$5:$AL$504,"active")</f>
        <v>0</v>
      </c>
      <c r="C132" s="29"/>
    </row>
    <row r="133" spans="1:14" ht="15.75" customHeight="1">
      <c r="A133" s="17" t="str">
        <f>'Demographic Descriptions'!D105</f>
        <v>Kazakh</v>
      </c>
      <c r="B133" s="17">
        <f>COUNTIFS('Tracking Sheet'!$H$5:$H$504,Calculations!A133,'Tracking Sheet'!$AL$5:$AL$504,"active")</f>
        <v>0</v>
      </c>
      <c r="C133" s="29"/>
      <c r="F133" s="16" t="s">
        <v>883</v>
      </c>
    </row>
    <row r="134" spans="1:14" ht="15.75" customHeight="1">
      <c r="A134" s="17" t="str">
        <f>'Demographic Descriptions'!D106</f>
        <v>Kenyan</v>
      </c>
      <c r="B134" s="17">
        <f>COUNTIFS('Tracking Sheet'!$H$5:$H$504,Calculations!A134,'Tracking Sheet'!$AL$5:$AL$504,"active")</f>
        <v>0</v>
      </c>
      <c r="C134" s="29"/>
      <c r="F134" s="17" t="s">
        <v>21</v>
      </c>
      <c r="G134" s="17">
        <f ca="1">COUNTIFS('Tracking Sheet'!$AV$5:$AV$504,'Demographic Descriptions'!R3,'Tracking Sheet'!$AY$5:$AY$504,Calculations!K1)</f>
        <v>0</v>
      </c>
    </row>
    <row r="135" spans="1:14" ht="15.75" customHeight="1">
      <c r="A135" s="17" t="str">
        <f>'Demographic Descriptions'!D107</f>
        <v>Kittitian</v>
      </c>
      <c r="B135" s="17">
        <f>COUNTIFS('Tracking Sheet'!$H$5:$H$504,Calculations!A135,'Tracking Sheet'!$AL$5:$AL$504,"active")</f>
        <v>0</v>
      </c>
      <c r="C135" s="29"/>
      <c r="F135" s="17" t="s">
        <v>22</v>
      </c>
      <c r="G135" s="17">
        <f ca="1">COUNTIFS('Tracking Sheet'!$AV$5:$AV$504,'Demographic Descriptions'!R4,'Tracking Sheet'!$AY$5:$AY$504,Calculations!K1)</f>
        <v>0</v>
      </c>
    </row>
    <row r="136" spans="1:14" ht="15.75" customHeight="1">
      <c r="A136" s="17" t="str">
        <f>'Demographic Descriptions'!D108</f>
        <v>Citizen of Kiribati</v>
      </c>
      <c r="B136" s="17">
        <f>COUNTIFS('Tracking Sheet'!$H$5:$H$504,Calculations!A136,'Tracking Sheet'!$AL$5:$AL$504,"active")</f>
        <v>0</v>
      </c>
      <c r="C136" s="29"/>
      <c r="F136" s="17" t="s">
        <v>25</v>
      </c>
      <c r="G136" s="17">
        <f ca="1">COUNTIFS('Tracking Sheet'!$AV$5:$AV$504,'Demographic Descriptions'!R5,'Tracking Sheet'!$AY$5:$AY$504,Calculations!K1)</f>
        <v>0</v>
      </c>
    </row>
    <row r="137" spans="1:14" ht="15.75" customHeight="1">
      <c r="A137" s="17" t="str">
        <f>'Demographic Descriptions'!D109</f>
        <v>Kosovan</v>
      </c>
      <c r="B137" s="17">
        <f>COUNTIFS('Tracking Sheet'!$H$5:$H$504,Calculations!A137,'Tracking Sheet'!$AL$5:$AL$504,"active")</f>
        <v>0</v>
      </c>
      <c r="C137" s="29"/>
      <c r="F137" s="17" t="s">
        <v>26</v>
      </c>
      <c r="G137" s="17">
        <f ca="1">COUNTIFS('Tracking Sheet'!$AV$5:$AV$504,'Demographic Descriptions'!R6,'Tracking Sheet'!$AY$5:$AY$504,Calculations!K1)</f>
        <v>0</v>
      </c>
    </row>
    <row r="138" spans="1:14" ht="15.75" customHeight="1">
      <c r="A138" s="17" t="str">
        <f>'Demographic Descriptions'!D110</f>
        <v>Kuwaiti</v>
      </c>
      <c r="B138" s="17">
        <f>COUNTIFS('Tracking Sheet'!$H$5:$H$504,Calculations!A138,'Tracking Sheet'!$AL$5:$AL$504,"active")</f>
        <v>0</v>
      </c>
      <c r="C138" s="29"/>
    </row>
    <row r="139" spans="1:14" ht="15.75" customHeight="1">
      <c r="A139" s="17" t="str">
        <f>'Demographic Descriptions'!D111</f>
        <v>Kyrgyz</v>
      </c>
      <c r="B139" s="17">
        <f>COUNTIFS('Tracking Sheet'!$H$5:$H$504,Calculations!A139,'Tracking Sheet'!$AL$5:$AL$504,"active")</f>
        <v>0</v>
      </c>
      <c r="C139" s="29"/>
    </row>
    <row r="140" spans="1:14" ht="15.75" customHeight="1">
      <c r="A140" s="17" t="str">
        <f>'Demographic Descriptions'!D112</f>
        <v>Lao</v>
      </c>
      <c r="B140" s="17">
        <f>COUNTIFS('Tracking Sheet'!$H$5:$H$504,Calculations!A140,'Tracking Sheet'!$AL$5:$AL$504,"active")</f>
        <v>0</v>
      </c>
      <c r="C140" s="29"/>
      <c r="F140" s="16" t="s">
        <v>890</v>
      </c>
      <c r="L140" s="16" t="s">
        <v>891</v>
      </c>
    </row>
    <row r="141" spans="1:14" ht="15.75" customHeight="1">
      <c r="A141" s="17" t="str">
        <f>'Demographic Descriptions'!D113</f>
        <v>Latvian</v>
      </c>
      <c r="B141" s="17">
        <f>COUNTIFS('Tracking Sheet'!$H$5:$H$504,Calculations!A141,'Tracking Sheet'!$AL$5:$AL$504,"active")</f>
        <v>0</v>
      </c>
      <c r="C141" s="29"/>
      <c r="F141" s="17" t="s">
        <v>21</v>
      </c>
      <c r="G141" s="17" t="str">
        <f>'Demographic Descriptions'!M3</f>
        <v>Position 1</v>
      </c>
      <c r="H141" s="17">
        <f ca="1">COUNTIFS('Tracking Sheet'!$AM$5:$AM$504,Calculations!G141,'Tracking Sheet'!$AI$5:$AI$504,"Quarter 1",'Tracking Sheet'!$AX$5:$AX$504,Calculations!$K$1)</f>
        <v>0</v>
      </c>
      <c r="L141" s="17" t="s">
        <v>21</v>
      </c>
      <c r="M141" s="17" t="str">
        <f>'Demographic Descriptions'!M3</f>
        <v>Position 1</v>
      </c>
      <c r="N141" s="17">
        <f ca="1">COUNTIFS('Tracking Sheet'!$AM$5:$AM$504,Calculations!M141,'Tracking Sheet'!$AV$5:$AV$504,"Quarter 1",'Tracking Sheet'!$AY$5:$AY$504,Calculations!$K$1)</f>
        <v>0</v>
      </c>
    </row>
    <row r="142" spans="1:14" ht="15.75" customHeight="1">
      <c r="A142" s="17" t="str">
        <f>'Demographic Descriptions'!D114</f>
        <v>Lebanese</v>
      </c>
      <c r="B142" s="17">
        <f>COUNTIFS('Tracking Sheet'!$H$5:$H$504,Calculations!A142,'Tracking Sheet'!$AL$5:$AL$504,"active")</f>
        <v>0</v>
      </c>
      <c r="C142" s="29"/>
      <c r="F142" s="17" t="s">
        <v>21</v>
      </c>
      <c r="G142" s="17" t="str">
        <f>'Demographic Descriptions'!M4</f>
        <v>Position 2</v>
      </c>
      <c r="H142" s="17">
        <f ca="1">COUNTIFS('Tracking Sheet'!$AM$5:$AM$504,Calculations!G142,'Tracking Sheet'!$AI$5:$AI$504,"Quarter 1",'Tracking Sheet'!$AX$5:$AX$504,Calculations!$K$1)</f>
        <v>0</v>
      </c>
      <c r="L142" s="17" t="s">
        <v>21</v>
      </c>
      <c r="M142" s="17" t="str">
        <f>'Demographic Descriptions'!M4</f>
        <v>Position 2</v>
      </c>
      <c r="N142" s="17">
        <f ca="1">COUNTIFS('Tracking Sheet'!$AM$5:$AM$504,Calculations!M142,'Tracking Sheet'!$AV$5:$AV$504,"Quarter 1",'Tracking Sheet'!$AY$5:$AY$504,Calculations!$K$1)</f>
        <v>0</v>
      </c>
    </row>
    <row r="143" spans="1:14" ht="15.75" customHeight="1">
      <c r="A143" s="17" t="str">
        <f>'Demographic Descriptions'!D115</f>
        <v>Liberian</v>
      </c>
      <c r="B143" s="17">
        <f>COUNTIFS('Tracking Sheet'!$H$5:$H$504,Calculations!A143,'Tracking Sheet'!$AL$5:$AL$504,"active")</f>
        <v>0</v>
      </c>
      <c r="C143" s="29"/>
      <c r="F143" s="17" t="s">
        <v>21</v>
      </c>
      <c r="G143" s="17" t="str">
        <f>'Demographic Descriptions'!M5</f>
        <v>Position 3</v>
      </c>
      <c r="H143" s="17">
        <f ca="1">COUNTIFS('Tracking Sheet'!$AM$5:$AM$504,Calculations!G143,'Tracking Sheet'!$AI$5:$AI$504,"Quarter 1",'Tracking Sheet'!$AX$5:$AX$504,Calculations!$K$1)</f>
        <v>0</v>
      </c>
      <c r="L143" s="17" t="s">
        <v>21</v>
      </c>
      <c r="M143" s="17" t="str">
        <f>'Demographic Descriptions'!M5</f>
        <v>Position 3</v>
      </c>
      <c r="N143" s="17">
        <f ca="1">COUNTIFS('Tracking Sheet'!$AM$5:$AM$504,Calculations!M143,'Tracking Sheet'!$AV$5:$AV$504,"Quarter 1",'Tracking Sheet'!$AY$5:$AY$504,Calculations!$K$1)</f>
        <v>0</v>
      </c>
    </row>
    <row r="144" spans="1:14" ht="15.75" customHeight="1">
      <c r="A144" s="17" t="str">
        <f>'Demographic Descriptions'!D116</f>
        <v>Libyan</v>
      </c>
      <c r="B144" s="17">
        <f>COUNTIFS('Tracking Sheet'!$H$5:$H$504,Calculations!A144,'Tracking Sheet'!$AL$5:$AL$504,"active")</f>
        <v>0</v>
      </c>
      <c r="C144" s="29"/>
      <c r="F144" s="17" t="s">
        <v>21</v>
      </c>
      <c r="G144" s="17" t="str">
        <f>'Demographic Descriptions'!M6</f>
        <v>Position 4</v>
      </c>
      <c r="H144" s="17">
        <f ca="1">COUNTIFS('Tracking Sheet'!$AM$5:$AM$504,Calculations!G144,'Tracking Sheet'!$AI$5:$AI$504,"Quarter 1",'Tracking Sheet'!$AX$5:$AX$504,Calculations!$K$1)</f>
        <v>0</v>
      </c>
      <c r="L144" s="17" t="s">
        <v>21</v>
      </c>
      <c r="M144" s="17" t="str">
        <f>'Demographic Descriptions'!M6</f>
        <v>Position 4</v>
      </c>
      <c r="N144" s="17">
        <f ca="1">COUNTIFS('Tracking Sheet'!$AM$5:$AM$504,Calculations!M144,'Tracking Sheet'!$AV$5:$AV$504,"Quarter 1",'Tracking Sheet'!$AY$5:$AY$504,Calculations!$K$1)</f>
        <v>0</v>
      </c>
    </row>
    <row r="145" spans="1:14" ht="15.75" customHeight="1">
      <c r="A145" s="17" t="str">
        <f>'Demographic Descriptions'!D117</f>
        <v>Liechtenstein citizen</v>
      </c>
      <c r="B145" s="17">
        <f>COUNTIFS('Tracking Sheet'!$H$5:$H$504,Calculations!A145,'Tracking Sheet'!$AL$5:$AL$504,"active")</f>
        <v>0</v>
      </c>
      <c r="C145" s="29"/>
      <c r="F145" s="17" t="s">
        <v>21</v>
      </c>
      <c r="G145" s="17" t="str">
        <f>'Demographic Descriptions'!M7</f>
        <v>Position 5</v>
      </c>
      <c r="H145" s="17">
        <f ca="1">COUNTIFS('Tracking Sheet'!$AM$5:$AM$504,Calculations!G145,'Tracking Sheet'!$AI$5:$AI$504,"Quarter 1",'Tracking Sheet'!$AX$5:$AX$504,Calculations!$K$1)</f>
        <v>0</v>
      </c>
      <c r="L145" s="17" t="s">
        <v>21</v>
      </c>
      <c r="M145" s="17" t="str">
        <f>'Demographic Descriptions'!M7</f>
        <v>Position 5</v>
      </c>
      <c r="N145" s="17">
        <f ca="1">COUNTIFS('Tracking Sheet'!$AM$5:$AM$504,Calculations!M145,'Tracking Sheet'!$AV$5:$AV$504,"Quarter 1",'Tracking Sheet'!$AY$5:$AY$504,Calculations!$K$1)</f>
        <v>0</v>
      </c>
    </row>
    <row r="146" spans="1:14" ht="15.75" customHeight="1">
      <c r="A146" s="17" t="str">
        <f>'Demographic Descriptions'!D118</f>
        <v>Lithuanian</v>
      </c>
      <c r="B146" s="17">
        <f>COUNTIFS('Tracking Sheet'!$H$5:$H$504,Calculations!A146,'Tracking Sheet'!$AL$5:$AL$504,"active")</f>
        <v>0</v>
      </c>
      <c r="C146" s="29"/>
      <c r="F146" s="17" t="s">
        <v>21</v>
      </c>
      <c r="G146" s="17" t="str">
        <f>'Demographic Descriptions'!M8</f>
        <v>Position 6</v>
      </c>
      <c r="H146" s="17">
        <f ca="1">COUNTIFS('Tracking Sheet'!$AM$5:$AM$504,Calculations!G146,'Tracking Sheet'!$AI$5:$AI$504,"Quarter 1",'Tracking Sheet'!$AX$5:$AX$504,Calculations!$K$1)</f>
        <v>0</v>
      </c>
      <c r="L146" s="17" t="s">
        <v>21</v>
      </c>
      <c r="M146" s="17" t="str">
        <f>'Demographic Descriptions'!M8</f>
        <v>Position 6</v>
      </c>
      <c r="N146" s="17">
        <f ca="1">COUNTIFS('Tracking Sheet'!$AM$5:$AM$504,Calculations!M146,'Tracking Sheet'!$AV$5:$AV$504,"Quarter 1",'Tracking Sheet'!$AY$5:$AY$504,Calculations!$K$1)</f>
        <v>0</v>
      </c>
    </row>
    <row r="147" spans="1:14" ht="15.75" customHeight="1">
      <c r="A147" s="17" t="str">
        <f>'Demographic Descriptions'!D119</f>
        <v>Luxembourger</v>
      </c>
      <c r="B147" s="17">
        <f>COUNTIFS('Tracking Sheet'!$H$5:$H$504,Calculations!A147,'Tracking Sheet'!$AL$5:$AL$504,"active")</f>
        <v>0</v>
      </c>
      <c r="C147" s="29"/>
      <c r="F147" s="17" t="s">
        <v>21</v>
      </c>
      <c r="G147" s="17" t="str">
        <f>'Demographic Descriptions'!M9</f>
        <v>Position 7</v>
      </c>
      <c r="H147" s="17">
        <f ca="1">COUNTIFS('Tracking Sheet'!$AM$5:$AM$504,Calculations!G147,'Tracking Sheet'!$AI$5:$AI$504,"Quarter 1",'Tracking Sheet'!$AX$5:$AX$504,Calculations!$K$1)</f>
        <v>0</v>
      </c>
      <c r="L147" s="17" t="s">
        <v>21</v>
      </c>
      <c r="M147" s="17" t="str">
        <f>'Demographic Descriptions'!M9</f>
        <v>Position 7</v>
      </c>
      <c r="N147" s="17">
        <f ca="1">COUNTIFS('Tracking Sheet'!$AM$5:$AM$504,Calculations!M147,'Tracking Sheet'!$AV$5:$AV$504,"Quarter 1",'Tracking Sheet'!$AY$5:$AY$504,Calculations!$K$1)</f>
        <v>0</v>
      </c>
    </row>
    <row r="148" spans="1:14" ht="15.75" customHeight="1">
      <c r="A148" s="17" t="str">
        <f>'Demographic Descriptions'!D120</f>
        <v>Macanese</v>
      </c>
      <c r="B148" s="17">
        <f>COUNTIFS('Tracking Sheet'!$H$5:$H$504,Calculations!A148,'Tracking Sheet'!$AL$5:$AL$504,"active")</f>
        <v>0</v>
      </c>
      <c r="C148" s="29"/>
      <c r="F148" s="17" t="s">
        <v>21</v>
      </c>
      <c r="G148" s="17" t="str">
        <f>'Demographic Descriptions'!M10</f>
        <v>Position 8</v>
      </c>
      <c r="H148" s="17">
        <f ca="1">COUNTIFS('Tracking Sheet'!$AM$5:$AM$504,Calculations!G148,'Tracking Sheet'!$AI$5:$AI$504,"Quarter 1",'Tracking Sheet'!$AX$5:$AX$504,Calculations!$K$1)</f>
        <v>0</v>
      </c>
      <c r="L148" s="17" t="s">
        <v>21</v>
      </c>
      <c r="M148" s="17" t="str">
        <f>'Demographic Descriptions'!M10</f>
        <v>Position 8</v>
      </c>
      <c r="N148" s="17">
        <f ca="1">COUNTIFS('Tracking Sheet'!$AM$5:$AM$504,Calculations!M148,'Tracking Sheet'!$AV$5:$AV$504,"Quarter 1",'Tracking Sheet'!$AY$5:$AY$504,Calculations!$K$1)</f>
        <v>0</v>
      </c>
    </row>
    <row r="149" spans="1:14" ht="15.75" customHeight="1">
      <c r="A149" s="17" t="str">
        <f>'Demographic Descriptions'!D121</f>
        <v>Macedonian</v>
      </c>
      <c r="B149" s="17">
        <f>COUNTIFS('Tracking Sheet'!$H$5:$H$504,Calculations!A149,'Tracking Sheet'!$AL$5:$AL$504,"active")</f>
        <v>0</v>
      </c>
      <c r="C149" s="29"/>
      <c r="F149" s="17" t="s">
        <v>21</v>
      </c>
      <c r="G149" s="17" t="str">
        <f>'Demographic Descriptions'!M11</f>
        <v>Position 9</v>
      </c>
      <c r="H149" s="17">
        <f ca="1">COUNTIFS('Tracking Sheet'!$AM$5:$AM$504,Calculations!G149,'Tracking Sheet'!$AI$5:$AI$504,"Quarter 1",'Tracking Sheet'!$AX$5:$AX$504,Calculations!$K$1)</f>
        <v>0</v>
      </c>
      <c r="L149" s="17" t="s">
        <v>21</v>
      </c>
      <c r="M149" s="17" t="str">
        <f>'Demographic Descriptions'!M11</f>
        <v>Position 9</v>
      </c>
      <c r="N149" s="17">
        <f ca="1">COUNTIFS('Tracking Sheet'!$AM$5:$AM$504,Calculations!M149,'Tracking Sheet'!$AV$5:$AV$504,"Quarter 1",'Tracking Sheet'!$AY$5:$AY$504,Calculations!$K$1)</f>
        <v>0</v>
      </c>
    </row>
    <row r="150" spans="1:14" ht="15.75" customHeight="1">
      <c r="A150" s="17" t="str">
        <f>'Demographic Descriptions'!D122</f>
        <v>Malagasy</v>
      </c>
      <c r="B150" s="17">
        <f>COUNTIFS('Tracking Sheet'!$H$5:$H$504,Calculations!A150,'Tracking Sheet'!$AL$5:$AL$504,"active")</f>
        <v>0</v>
      </c>
      <c r="C150" s="29"/>
      <c r="F150" s="17" t="s">
        <v>21</v>
      </c>
      <c r="G150" s="17" t="str">
        <f>'Demographic Descriptions'!M12</f>
        <v>Position 10</v>
      </c>
      <c r="H150" s="17">
        <f ca="1">COUNTIFS('Tracking Sheet'!$AM$5:$AM$504,Calculations!G150,'Tracking Sheet'!$AI$5:$AI$504,"Quarter 1",'Tracking Sheet'!$AX$5:$AX$504,Calculations!$K$1)</f>
        <v>0</v>
      </c>
      <c r="L150" s="17" t="s">
        <v>21</v>
      </c>
      <c r="M150" s="17" t="str">
        <f>'Demographic Descriptions'!M12</f>
        <v>Position 10</v>
      </c>
      <c r="N150" s="17">
        <f ca="1">COUNTIFS('Tracking Sheet'!$AM$5:$AM$504,Calculations!M150,'Tracking Sheet'!$AV$5:$AV$504,"Quarter 1",'Tracking Sheet'!$AY$5:$AY$504,Calculations!$K$1)</f>
        <v>0</v>
      </c>
    </row>
    <row r="151" spans="1:14" ht="15.75" customHeight="1">
      <c r="A151" s="17" t="str">
        <f>'Demographic Descriptions'!D123</f>
        <v>Malawian</v>
      </c>
      <c r="B151" s="17">
        <f>COUNTIFS('Tracking Sheet'!$H$5:$H$504,Calculations!A151,'Tracking Sheet'!$AL$5:$AL$504,"active")</f>
        <v>0</v>
      </c>
      <c r="C151" s="29"/>
      <c r="F151" s="17" t="s">
        <v>21</v>
      </c>
      <c r="G151" s="17" t="str">
        <f>'Demographic Descriptions'!M13</f>
        <v>Position 11</v>
      </c>
      <c r="H151" s="17">
        <f ca="1">COUNTIFS('Tracking Sheet'!$AM$5:$AM$504,Calculations!G151,'Tracking Sheet'!$AI$5:$AI$504,"Quarter 1",'Tracking Sheet'!$AX$5:$AX$504,Calculations!$K$1)</f>
        <v>0</v>
      </c>
      <c r="L151" s="17" t="s">
        <v>21</v>
      </c>
      <c r="M151" s="17" t="str">
        <f>'Demographic Descriptions'!M13</f>
        <v>Position 11</v>
      </c>
      <c r="N151" s="17">
        <f ca="1">COUNTIFS('Tracking Sheet'!$AM$5:$AM$504,Calculations!M151,'Tracking Sheet'!$AV$5:$AV$504,"Quarter 1",'Tracking Sheet'!$AY$5:$AY$504,Calculations!$K$1)</f>
        <v>0</v>
      </c>
    </row>
    <row r="152" spans="1:14" ht="15.75" customHeight="1">
      <c r="A152" s="17" t="str">
        <f>'Demographic Descriptions'!D124</f>
        <v>Malaysian</v>
      </c>
      <c r="B152" s="17">
        <f>COUNTIFS('Tracking Sheet'!$H$5:$H$504,Calculations!A152,'Tracking Sheet'!$AL$5:$AL$504,"active")</f>
        <v>0</v>
      </c>
      <c r="C152" s="29"/>
      <c r="F152" s="17" t="s">
        <v>21</v>
      </c>
      <c r="G152" s="17" t="str">
        <f>'Demographic Descriptions'!M14</f>
        <v>Position 12</v>
      </c>
      <c r="H152" s="17">
        <f ca="1">COUNTIFS('Tracking Sheet'!$AM$5:$AM$504,Calculations!G152,'Tracking Sheet'!$AI$5:$AI$504,"Quarter 1",'Tracking Sheet'!$AX$5:$AX$504,Calculations!$K$1)</f>
        <v>0</v>
      </c>
      <c r="L152" s="17" t="s">
        <v>21</v>
      </c>
      <c r="M152" s="17" t="str">
        <f>'Demographic Descriptions'!M14</f>
        <v>Position 12</v>
      </c>
      <c r="N152" s="17">
        <f ca="1">COUNTIFS('Tracking Sheet'!$AM$5:$AM$504,Calculations!M152,'Tracking Sheet'!$AV$5:$AV$504,"Quarter 1",'Tracking Sheet'!$AY$5:$AY$504,Calculations!$K$1)</f>
        <v>0</v>
      </c>
    </row>
    <row r="153" spans="1:14" ht="15.75" customHeight="1">
      <c r="A153" s="17" t="str">
        <f>'Demographic Descriptions'!D125</f>
        <v>Maldivian</v>
      </c>
      <c r="B153" s="17">
        <f>COUNTIFS('Tracking Sheet'!$H$5:$H$504,Calculations!A153,'Tracking Sheet'!$AL$5:$AL$504,"active")</f>
        <v>0</v>
      </c>
      <c r="C153" s="29"/>
      <c r="F153" s="17" t="s">
        <v>21</v>
      </c>
      <c r="G153" s="17" t="str">
        <f>'Demographic Descriptions'!M15</f>
        <v>Position 13</v>
      </c>
      <c r="H153" s="17">
        <f ca="1">COUNTIFS('Tracking Sheet'!$AM$5:$AM$504,Calculations!G153,'Tracking Sheet'!$AI$5:$AI$504,"Quarter 1",'Tracking Sheet'!$AX$5:$AX$504,Calculations!$K$1)</f>
        <v>0</v>
      </c>
      <c r="L153" s="17" t="s">
        <v>21</v>
      </c>
      <c r="M153" s="17" t="str">
        <f>'Demographic Descriptions'!M15</f>
        <v>Position 13</v>
      </c>
      <c r="N153" s="17">
        <f ca="1">COUNTIFS('Tracking Sheet'!$AM$5:$AM$504,Calculations!M153,'Tracking Sheet'!$AV$5:$AV$504,"Quarter 1",'Tracking Sheet'!$AY$5:$AY$504,Calculations!$K$1)</f>
        <v>0</v>
      </c>
    </row>
    <row r="154" spans="1:14" ht="15.75" customHeight="1">
      <c r="A154" s="17" t="str">
        <f>'Demographic Descriptions'!D126</f>
        <v>Malian</v>
      </c>
      <c r="B154" s="17">
        <f>COUNTIFS('Tracking Sheet'!$H$5:$H$504,Calculations!A154,'Tracking Sheet'!$AL$5:$AL$504,"active")</f>
        <v>0</v>
      </c>
      <c r="C154" s="29"/>
      <c r="F154" s="17" t="s">
        <v>21</v>
      </c>
      <c r="G154" s="17" t="str">
        <f>'Demographic Descriptions'!M16</f>
        <v>Position 14</v>
      </c>
      <c r="H154" s="17">
        <f ca="1">COUNTIFS('Tracking Sheet'!$AM$5:$AM$504,Calculations!G154,'Tracking Sheet'!$AI$5:$AI$504,"Quarter 1",'Tracking Sheet'!$AX$5:$AX$504,Calculations!$K$1)</f>
        <v>0</v>
      </c>
      <c r="L154" s="17" t="s">
        <v>21</v>
      </c>
      <c r="M154" s="17" t="str">
        <f>'Demographic Descriptions'!M16</f>
        <v>Position 14</v>
      </c>
      <c r="N154" s="17">
        <f ca="1">COUNTIFS('Tracking Sheet'!$AM$5:$AM$504,Calculations!M154,'Tracking Sheet'!$AV$5:$AV$504,"Quarter 1",'Tracking Sheet'!$AY$5:$AY$504,Calculations!$K$1)</f>
        <v>0</v>
      </c>
    </row>
    <row r="155" spans="1:14" ht="15.75" customHeight="1">
      <c r="A155" s="17" t="str">
        <f>'Demographic Descriptions'!D127</f>
        <v>Maltese</v>
      </c>
      <c r="B155" s="17">
        <f>COUNTIFS('Tracking Sheet'!$H$5:$H$504,Calculations!A155,'Tracking Sheet'!$AL$5:$AL$504,"active")</f>
        <v>0</v>
      </c>
      <c r="C155" s="29"/>
      <c r="F155" s="17" t="s">
        <v>21</v>
      </c>
      <c r="G155" s="17" t="str">
        <f>'Demographic Descriptions'!M17</f>
        <v>Position 15</v>
      </c>
      <c r="H155" s="17">
        <f ca="1">COUNTIFS('Tracking Sheet'!$AM$5:$AM$504,Calculations!G155,'Tracking Sheet'!$AI$5:$AI$504,"Quarter 1",'Tracking Sheet'!$AX$5:$AX$504,Calculations!$K$1)</f>
        <v>0</v>
      </c>
      <c r="L155" s="17" t="s">
        <v>21</v>
      </c>
      <c r="M155" s="17" t="str">
        <f>'Demographic Descriptions'!M17</f>
        <v>Position 15</v>
      </c>
      <c r="N155" s="17">
        <f ca="1">COUNTIFS('Tracking Sheet'!$AM$5:$AM$504,Calculations!M155,'Tracking Sheet'!$AV$5:$AV$504,"Quarter 1",'Tracking Sheet'!$AY$5:$AY$504,Calculations!$K$1)</f>
        <v>0</v>
      </c>
    </row>
    <row r="156" spans="1:14" ht="15.75" customHeight="1">
      <c r="A156" s="17" t="str">
        <f>'Demographic Descriptions'!D128</f>
        <v>Marshallese</v>
      </c>
      <c r="B156" s="17">
        <f>COUNTIFS('Tracking Sheet'!$H$5:$H$504,Calculations!A156,'Tracking Sheet'!$AL$5:$AL$504,"active")</f>
        <v>0</v>
      </c>
      <c r="C156" s="29"/>
      <c r="F156" s="17" t="s">
        <v>21</v>
      </c>
      <c r="G156" s="17" t="str">
        <f>'Demographic Descriptions'!M18</f>
        <v>Position 16</v>
      </c>
      <c r="H156" s="17">
        <f ca="1">COUNTIFS('Tracking Sheet'!$AM$5:$AM$504,Calculations!G156,'Tracking Sheet'!$AI$5:$AI$504,"Quarter 1",'Tracking Sheet'!$AX$5:$AX$504,Calculations!$K$1)</f>
        <v>0</v>
      </c>
      <c r="L156" s="17" t="s">
        <v>21</v>
      </c>
      <c r="M156" s="17" t="str">
        <f>'Demographic Descriptions'!M18</f>
        <v>Position 16</v>
      </c>
      <c r="N156" s="17">
        <f ca="1">COUNTIFS('Tracking Sheet'!$AM$5:$AM$504,Calculations!M156,'Tracking Sheet'!$AV$5:$AV$504,"Quarter 1",'Tracking Sheet'!$AY$5:$AY$504,Calculations!$K$1)</f>
        <v>0</v>
      </c>
    </row>
    <row r="157" spans="1:14" ht="15.75" customHeight="1">
      <c r="A157" s="17" t="str">
        <f>'Demographic Descriptions'!D129</f>
        <v>Martiniquais</v>
      </c>
      <c r="B157" s="17">
        <f>COUNTIFS('Tracking Sheet'!$H$5:$H$504,Calculations!A157,'Tracking Sheet'!$AL$5:$AL$504,"active")</f>
        <v>0</v>
      </c>
      <c r="C157" s="29"/>
      <c r="F157" s="17" t="s">
        <v>21</v>
      </c>
      <c r="G157" s="17" t="str">
        <f>'Demographic Descriptions'!M19</f>
        <v>Position 17</v>
      </c>
      <c r="H157" s="17">
        <f ca="1">COUNTIFS('Tracking Sheet'!$AM$5:$AM$504,Calculations!G157,'Tracking Sheet'!$AI$5:$AI$504,"Quarter 1",'Tracking Sheet'!$AX$5:$AX$504,Calculations!$K$1)</f>
        <v>0</v>
      </c>
      <c r="L157" s="17" t="s">
        <v>21</v>
      </c>
      <c r="M157" s="17" t="str">
        <f>'Demographic Descriptions'!M19</f>
        <v>Position 17</v>
      </c>
      <c r="N157" s="17">
        <f ca="1">COUNTIFS('Tracking Sheet'!$AM$5:$AM$504,Calculations!M157,'Tracking Sheet'!$AV$5:$AV$504,"Quarter 1",'Tracking Sheet'!$AY$5:$AY$504,Calculations!$K$1)</f>
        <v>0</v>
      </c>
    </row>
    <row r="158" spans="1:14" ht="15.75" customHeight="1">
      <c r="A158" s="17" t="str">
        <f>'Demographic Descriptions'!D130</f>
        <v>Mauritanian</v>
      </c>
      <c r="B158" s="17">
        <f>COUNTIFS('Tracking Sheet'!$H$5:$H$504,Calculations!A158,'Tracking Sheet'!$AL$5:$AL$504,"active")</f>
        <v>0</v>
      </c>
      <c r="C158" s="29"/>
      <c r="F158" s="17" t="s">
        <v>21</v>
      </c>
      <c r="G158" s="17" t="str">
        <f>'Demographic Descriptions'!M20</f>
        <v>Position 18</v>
      </c>
      <c r="H158" s="17">
        <f ca="1">COUNTIFS('Tracking Sheet'!$AM$5:$AM$504,Calculations!G158,'Tracking Sheet'!$AI$5:$AI$504,"Quarter 1",'Tracking Sheet'!$AX$5:$AX$504,Calculations!$K$1)</f>
        <v>0</v>
      </c>
      <c r="L158" s="17" t="s">
        <v>21</v>
      </c>
      <c r="M158" s="17" t="str">
        <f>'Demographic Descriptions'!M20</f>
        <v>Position 18</v>
      </c>
      <c r="N158" s="17">
        <f ca="1">COUNTIFS('Tracking Sheet'!$AM$5:$AM$504,Calculations!M158,'Tracking Sheet'!$AV$5:$AV$504,"Quarter 1",'Tracking Sheet'!$AY$5:$AY$504,Calculations!$K$1)</f>
        <v>0</v>
      </c>
    </row>
    <row r="159" spans="1:14" ht="15.75" customHeight="1">
      <c r="A159" s="17" t="str">
        <f>'Demographic Descriptions'!D131</f>
        <v>Mauritian</v>
      </c>
      <c r="B159" s="17">
        <f>COUNTIFS('Tracking Sheet'!$H$5:$H$504,Calculations!A159,'Tracking Sheet'!$AL$5:$AL$504,"active")</f>
        <v>0</v>
      </c>
      <c r="C159" s="29"/>
      <c r="F159" s="17" t="s">
        <v>21</v>
      </c>
      <c r="G159" s="17" t="str">
        <f>'Demographic Descriptions'!M21</f>
        <v>Position 19</v>
      </c>
      <c r="H159" s="17">
        <f ca="1">COUNTIFS('Tracking Sheet'!$AM$5:$AM$504,Calculations!G159,'Tracking Sheet'!$AI$5:$AI$504,"Quarter 1",'Tracking Sheet'!$AX$5:$AX$504,Calculations!$K$1)</f>
        <v>0</v>
      </c>
      <c r="L159" s="17" t="s">
        <v>21</v>
      </c>
      <c r="M159" s="17" t="str">
        <f>'Demographic Descriptions'!M21</f>
        <v>Position 19</v>
      </c>
      <c r="N159" s="17">
        <f ca="1">COUNTIFS('Tracking Sheet'!$AM$5:$AM$504,Calculations!M159,'Tracking Sheet'!$AV$5:$AV$504,"Quarter 1",'Tracking Sheet'!$AY$5:$AY$504,Calculations!$K$1)</f>
        <v>0</v>
      </c>
    </row>
    <row r="160" spans="1:14" ht="15.75" customHeight="1">
      <c r="A160" s="17" t="str">
        <f>'Demographic Descriptions'!D132</f>
        <v>Mexican</v>
      </c>
      <c r="B160" s="17">
        <f>COUNTIFS('Tracking Sheet'!$H$5:$H$504,Calculations!A160,'Tracking Sheet'!$AL$5:$AL$504,"active")</f>
        <v>0</v>
      </c>
      <c r="C160" s="29"/>
      <c r="F160" s="17" t="s">
        <v>21</v>
      </c>
      <c r="G160" s="17" t="str">
        <f>'Demographic Descriptions'!M22</f>
        <v>Position 20</v>
      </c>
      <c r="H160" s="17">
        <f ca="1">COUNTIFS('Tracking Sheet'!$AM$5:$AM$504,Calculations!G160,'Tracking Sheet'!$AI$5:$AI$504,"Quarter 1",'Tracking Sheet'!$AX$5:$AX$504,Calculations!$K$1)</f>
        <v>0</v>
      </c>
      <c r="L160" s="17" t="s">
        <v>21</v>
      </c>
      <c r="M160" s="17" t="str">
        <f>'Demographic Descriptions'!M22</f>
        <v>Position 20</v>
      </c>
      <c r="N160" s="17">
        <f ca="1">COUNTIFS('Tracking Sheet'!$AM$5:$AM$504,Calculations!M160,'Tracking Sheet'!$AV$5:$AV$504,"Quarter 1",'Tracking Sheet'!$AY$5:$AY$504,Calculations!$K$1)</f>
        <v>0</v>
      </c>
    </row>
    <row r="161" spans="1:14" ht="15.75" customHeight="1">
      <c r="A161" s="17" t="str">
        <f>'Demographic Descriptions'!D133</f>
        <v>Micronesian</v>
      </c>
      <c r="B161" s="17">
        <f>COUNTIFS('Tracking Sheet'!$H$5:$H$504,Calculations!A161,'Tracking Sheet'!$AL$5:$AL$504,"active")</f>
        <v>0</v>
      </c>
      <c r="C161" s="29"/>
      <c r="F161" s="17" t="s">
        <v>21</v>
      </c>
      <c r="G161" s="17" t="str">
        <f>'Demographic Descriptions'!M23</f>
        <v>Position 21</v>
      </c>
      <c r="H161" s="17">
        <f ca="1">COUNTIFS('Tracking Sheet'!$AM$5:$AM$504,Calculations!G161,'Tracking Sheet'!$AI$5:$AI$504,"Quarter 1",'Tracking Sheet'!$AX$5:$AX$504,Calculations!$K$1)</f>
        <v>0</v>
      </c>
      <c r="L161" s="17" t="s">
        <v>21</v>
      </c>
      <c r="M161" s="17" t="str">
        <f>'Demographic Descriptions'!M23</f>
        <v>Position 21</v>
      </c>
      <c r="N161" s="17">
        <f ca="1">COUNTIFS('Tracking Sheet'!$AM$5:$AM$504,Calculations!M161,'Tracking Sheet'!$AV$5:$AV$504,"Quarter 1",'Tracking Sheet'!$AY$5:$AY$504,Calculations!$K$1)</f>
        <v>0</v>
      </c>
    </row>
    <row r="162" spans="1:14" ht="15.75" customHeight="1">
      <c r="A162" s="17" t="str">
        <f>'Demographic Descriptions'!D134</f>
        <v>Moldovan</v>
      </c>
      <c r="B162" s="17">
        <f>COUNTIFS('Tracking Sheet'!$H$5:$H$504,Calculations!A162,'Tracking Sheet'!$AL$5:$AL$504,"active")</f>
        <v>0</v>
      </c>
      <c r="C162" s="29"/>
      <c r="F162" s="17" t="s">
        <v>21</v>
      </c>
      <c r="G162" s="17" t="str">
        <f>'Demographic Descriptions'!M24</f>
        <v>Position 22</v>
      </c>
      <c r="H162" s="17">
        <f ca="1">COUNTIFS('Tracking Sheet'!$AM$5:$AM$504,Calculations!G162,'Tracking Sheet'!$AI$5:$AI$504,"Quarter 1",'Tracking Sheet'!$AX$5:$AX$504,Calculations!$K$1)</f>
        <v>0</v>
      </c>
      <c r="L162" s="17" t="s">
        <v>21</v>
      </c>
      <c r="M162" s="17" t="str">
        <f>'Demographic Descriptions'!M24</f>
        <v>Position 22</v>
      </c>
      <c r="N162" s="17">
        <f ca="1">COUNTIFS('Tracking Sheet'!$AM$5:$AM$504,Calculations!M162,'Tracking Sheet'!$AV$5:$AV$504,"Quarter 1",'Tracking Sheet'!$AY$5:$AY$504,Calculations!$K$1)</f>
        <v>0</v>
      </c>
    </row>
    <row r="163" spans="1:14" ht="15.75" customHeight="1">
      <c r="A163" s="17" t="str">
        <f>'Demographic Descriptions'!D135</f>
        <v>Monegasque</v>
      </c>
      <c r="B163" s="17">
        <f>COUNTIFS('Tracking Sheet'!$H$5:$H$504,Calculations!A163,'Tracking Sheet'!$AL$5:$AL$504,"active")</f>
        <v>0</v>
      </c>
      <c r="C163" s="29"/>
      <c r="F163" s="17" t="s">
        <v>21</v>
      </c>
      <c r="G163" s="17" t="str">
        <f>'Demographic Descriptions'!M25</f>
        <v>Position 23</v>
      </c>
      <c r="H163" s="17">
        <f ca="1">COUNTIFS('Tracking Sheet'!$AM$5:$AM$504,Calculations!G163,'Tracking Sheet'!$AI$5:$AI$504,"Quarter 1",'Tracking Sheet'!$AX$5:$AX$504,Calculations!$K$1)</f>
        <v>0</v>
      </c>
      <c r="L163" s="17" t="s">
        <v>21</v>
      </c>
      <c r="M163" s="17" t="str">
        <f>'Demographic Descriptions'!M25</f>
        <v>Position 23</v>
      </c>
      <c r="N163" s="17">
        <f ca="1">COUNTIFS('Tracking Sheet'!$AM$5:$AM$504,Calculations!M163,'Tracking Sheet'!$AV$5:$AV$504,"Quarter 1",'Tracking Sheet'!$AY$5:$AY$504,Calculations!$K$1)</f>
        <v>0</v>
      </c>
    </row>
    <row r="164" spans="1:14" ht="15.75" customHeight="1">
      <c r="A164" s="17" t="str">
        <f>'Demographic Descriptions'!D136</f>
        <v>Mongolian</v>
      </c>
      <c r="B164" s="17">
        <f>COUNTIFS('Tracking Sheet'!$H$5:$H$504,Calculations!A164,'Tracking Sheet'!$AL$5:$AL$504,"active")</f>
        <v>0</v>
      </c>
      <c r="C164" s="29"/>
      <c r="F164" s="17" t="s">
        <v>21</v>
      </c>
      <c r="G164" s="17" t="str">
        <f>'Demographic Descriptions'!M26</f>
        <v>Position 24</v>
      </c>
      <c r="H164" s="17">
        <f ca="1">COUNTIFS('Tracking Sheet'!$AM$5:$AM$504,Calculations!G164,'Tracking Sheet'!$AI$5:$AI$504,"Quarter 1",'Tracking Sheet'!$AX$5:$AX$504,Calculations!$K$1)</f>
        <v>0</v>
      </c>
      <c r="L164" s="17" t="s">
        <v>21</v>
      </c>
      <c r="M164" s="17" t="str">
        <f>'Demographic Descriptions'!M26</f>
        <v>Position 24</v>
      </c>
      <c r="N164" s="17">
        <f ca="1">COUNTIFS('Tracking Sheet'!$AM$5:$AM$504,Calculations!M164,'Tracking Sheet'!$AV$5:$AV$504,"Quarter 1",'Tracking Sheet'!$AY$5:$AY$504,Calculations!$K$1)</f>
        <v>0</v>
      </c>
    </row>
    <row r="165" spans="1:14" ht="15.75" customHeight="1">
      <c r="A165" s="17" t="str">
        <f>'Demographic Descriptions'!D137</f>
        <v>Montenegrin</v>
      </c>
      <c r="B165" s="17">
        <f>COUNTIFS('Tracking Sheet'!$H$5:$H$504,Calculations!A165,'Tracking Sheet'!$AL$5:$AL$504,"active")</f>
        <v>0</v>
      </c>
      <c r="C165" s="29"/>
      <c r="F165" s="17" t="s">
        <v>21</v>
      </c>
      <c r="G165" s="17" t="str">
        <f>'Demographic Descriptions'!M27</f>
        <v>Position 25</v>
      </c>
      <c r="H165" s="17">
        <f ca="1">COUNTIFS('Tracking Sheet'!$AM$5:$AM$504,Calculations!G165,'Tracking Sheet'!$AI$5:$AI$504,"Quarter 1",'Tracking Sheet'!$AX$5:$AX$504,Calculations!$K$1)</f>
        <v>0</v>
      </c>
      <c r="L165" s="17" t="s">
        <v>21</v>
      </c>
      <c r="M165" s="17" t="str">
        <f>'Demographic Descriptions'!M27</f>
        <v>Position 25</v>
      </c>
      <c r="N165" s="17">
        <f ca="1">COUNTIFS('Tracking Sheet'!$AM$5:$AM$504,Calculations!M165,'Tracking Sheet'!$AV$5:$AV$504,"Quarter 1",'Tracking Sheet'!$AY$5:$AY$504,Calculations!$K$1)</f>
        <v>0</v>
      </c>
    </row>
    <row r="166" spans="1:14" ht="15.75" customHeight="1">
      <c r="A166" s="17" t="str">
        <f>'Demographic Descriptions'!D138</f>
        <v>Montserratian</v>
      </c>
      <c r="B166" s="17">
        <f>COUNTIFS('Tracking Sheet'!$H$5:$H$504,Calculations!A166,'Tracking Sheet'!$AL$5:$AL$504,"active")</f>
        <v>0</v>
      </c>
      <c r="C166" s="29"/>
      <c r="F166" s="17" t="s">
        <v>21</v>
      </c>
      <c r="G166" s="17" t="str">
        <f>'Demographic Descriptions'!M28</f>
        <v>Position 26</v>
      </c>
      <c r="H166" s="17">
        <f ca="1">COUNTIFS('Tracking Sheet'!$AM$5:$AM$504,Calculations!G166,'Tracking Sheet'!$AI$5:$AI$504,"Quarter 1",'Tracking Sheet'!$AX$5:$AX$504,Calculations!$K$1)</f>
        <v>0</v>
      </c>
      <c r="L166" s="17" t="s">
        <v>21</v>
      </c>
      <c r="M166" s="17" t="str">
        <f>'Demographic Descriptions'!M28</f>
        <v>Position 26</v>
      </c>
      <c r="N166" s="17">
        <f ca="1">COUNTIFS('Tracking Sheet'!$AM$5:$AM$504,Calculations!M166,'Tracking Sheet'!$AV$5:$AV$504,"Quarter 1",'Tracking Sheet'!$AY$5:$AY$504,Calculations!$K$1)</f>
        <v>0</v>
      </c>
    </row>
    <row r="167" spans="1:14" ht="15.75" customHeight="1">
      <c r="A167" s="17" t="str">
        <f>'Demographic Descriptions'!D139</f>
        <v>Moroccan</v>
      </c>
      <c r="B167" s="17">
        <f>COUNTIFS('Tracking Sheet'!$H$5:$H$504,Calculations!A167,'Tracking Sheet'!$AL$5:$AL$504,"active")</f>
        <v>0</v>
      </c>
      <c r="C167" s="29"/>
      <c r="F167" s="17" t="s">
        <v>21</v>
      </c>
      <c r="G167" s="17" t="str">
        <f>'Demographic Descriptions'!M29</f>
        <v>Position 27</v>
      </c>
      <c r="H167" s="17">
        <f ca="1">COUNTIFS('Tracking Sheet'!$AM$5:$AM$504,Calculations!G167,'Tracking Sheet'!$AI$5:$AI$504,"Quarter 1",'Tracking Sheet'!$AX$5:$AX$504,Calculations!$K$1)</f>
        <v>0</v>
      </c>
      <c r="L167" s="17" t="s">
        <v>21</v>
      </c>
      <c r="M167" s="17" t="str">
        <f>'Demographic Descriptions'!M29</f>
        <v>Position 27</v>
      </c>
      <c r="N167" s="17">
        <f ca="1">COUNTIFS('Tracking Sheet'!$AM$5:$AM$504,Calculations!M167,'Tracking Sheet'!$AV$5:$AV$504,"Quarter 1",'Tracking Sheet'!$AY$5:$AY$504,Calculations!$K$1)</f>
        <v>0</v>
      </c>
    </row>
    <row r="168" spans="1:14" ht="15.75" customHeight="1">
      <c r="A168" s="17" t="str">
        <f>'Demographic Descriptions'!D140</f>
        <v>Mosotho</v>
      </c>
      <c r="B168" s="17">
        <f>COUNTIFS('Tracking Sheet'!$H$5:$H$504,Calculations!A168,'Tracking Sheet'!$AL$5:$AL$504,"active")</f>
        <v>0</v>
      </c>
      <c r="C168" s="29"/>
      <c r="F168" s="17" t="s">
        <v>21</v>
      </c>
      <c r="G168" s="17" t="str">
        <f>'Demographic Descriptions'!M30</f>
        <v>Position 28</v>
      </c>
      <c r="H168" s="17">
        <f ca="1">COUNTIFS('Tracking Sheet'!$AM$5:$AM$504,Calculations!G168,'Tracking Sheet'!$AI$5:$AI$504,"Quarter 1",'Tracking Sheet'!$AX$5:$AX$504,Calculations!$K$1)</f>
        <v>0</v>
      </c>
      <c r="L168" s="17" t="s">
        <v>21</v>
      </c>
      <c r="M168" s="17" t="str">
        <f>'Demographic Descriptions'!M30</f>
        <v>Position 28</v>
      </c>
      <c r="N168" s="17">
        <f ca="1">COUNTIFS('Tracking Sheet'!$AM$5:$AM$504,Calculations!M168,'Tracking Sheet'!$AV$5:$AV$504,"Quarter 1",'Tracking Sheet'!$AY$5:$AY$504,Calculations!$K$1)</f>
        <v>0</v>
      </c>
    </row>
    <row r="169" spans="1:14" ht="15.75" customHeight="1">
      <c r="A169" s="17" t="str">
        <f>'Demographic Descriptions'!D141</f>
        <v>Mozambican</v>
      </c>
      <c r="B169" s="17">
        <f>COUNTIFS('Tracking Sheet'!$H$5:$H$504,Calculations!A169,'Tracking Sheet'!$AL$5:$AL$504,"active")</f>
        <v>0</v>
      </c>
      <c r="C169" s="29"/>
      <c r="F169" s="17" t="s">
        <v>21</v>
      </c>
      <c r="G169" s="17" t="str">
        <f>'Demographic Descriptions'!M31</f>
        <v>Position 29</v>
      </c>
      <c r="H169" s="17">
        <f ca="1">COUNTIFS('Tracking Sheet'!$AM$5:$AM$504,Calculations!G169,'Tracking Sheet'!$AI$5:$AI$504,"Quarter 1",'Tracking Sheet'!$AX$5:$AX$504,Calculations!$K$1)</f>
        <v>0</v>
      </c>
      <c r="L169" s="17" t="s">
        <v>21</v>
      </c>
      <c r="M169" s="17" t="str">
        <f>'Demographic Descriptions'!M31</f>
        <v>Position 29</v>
      </c>
      <c r="N169" s="17">
        <f ca="1">COUNTIFS('Tracking Sheet'!$AM$5:$AM$504,Calculations!M169,'Tracking Sheet'!$AV$5:$AV$504,"Quarter 1",'Tracking Sheet'!$AY$5:$AY$504,Calculations!$K$1)</f>
        <v>0</v>
      </c>
    </row>
    <row r="170" spans="1:14" ht="15.75" customHeight="1">
      <c r="A170" s="17" t="str">
        <f>'Demographic Descriptions'!D142</f>
        <v>Namibian</v>
      </c>
      <c r="B170" s="17">
        <f>COUNTIFS('Tracking Sheet'!$H$5:$H$504,Calculations!A170,'Tracking Sheet'!$AL$5:$AL$504,"active")</f>
        <v>0</v>
      </c>
      <c r="C170" s="29"/>
      <c r="F170" s="17" t="s">
        <v>21</v>
      </c>
      <c r="G170" s="17" t="str">
        <f>'Demographic Descriptions'!M32</f>
        <v>Position 30</v>
      </c>
      <c r="H170" s="17">
        <f ca="1">COUNTIFS('Tracking Sheet'!$AM$5:$AM$504,Calculations!G170,'Tracking Sheet'!$AI$5:$AI$504,"Quarter 1",'Tracking Sheet'!$AX$5:$AX$504,Calculations!$K$1)</f>
        <v>0</v>
      </c>
      <c r="L170" s="17" t="s">
        <v>21</v>
      </c>
      <c r="M170" s="17" t="str">
        <f>'Demographic Descriptions'!M32</f>
        <v>Position 30</v>
      </c>
      <c r="N170" s="17">
        <f ca="1">COUNTIFS('Tracking Sheet'!$AM$5:$AM$504,Calculations!M170,'Tracking Sheet'!$AV$5:$AV$504,"Quarter 1",'Tracking Sheet'!$AY$5:$AY$504,Calculations!$K$1)</f>
        <v>0</v>
      </c>
    </row>
    <row r="171" spans="1:14" ht="15.75" customHeight="1">
      <c r="A171" s="17" t="str">
        <f>'Demographic Descriptions'!D143</f>
        <v>Nauruan</v>
      </c>
      <c r="B171" s="17">
        <f>COUNTIFS('Tracking Sheet'!$H$5:$H$504,Calculations!A171,'Tracking Sheet'!$AL$5:$AL$504,"active")</f>
        <v>0</v>
      </c>
      <c r="C171" s="29"/>
      <c r="F171" s="17" t="s">
        <v>21</v>
      </c>
      <c r="G171" s="17" t="str">
        <f>'Demographic Descriptions'!M33</f>
        <v>Position 31</v>
      </c>
      <c r="H171" s="17">
        <f ca="1">COUNTIFS('Tracking Sheet'!$AM$5:$AM$504,Calculations!G171,'Tracking Sheet'!$AI$5:$AI$504,"Quarter 1",'Tracking Sheet'!$AX$5:$AX$504,Calculations!$K$1)</f>
        <v>0</v>
      </c>
      <c r="L171" s="17" t="s">
        <v>21</v>
      </c>
      <c r="M171" s="17" t="str">
        <f>'Demographic Descriptions'!M33</f>
        <v>Position 31</v>
      </c>
      <c r="N171" s="17">
        <f ca="1">COUNTIFS('Tracking Sheet'!$AM$5:$AM$504,Calculations!M171,'Tracking Sheet'!$AV$5:$AV$504,"Quarter 1",'Tracking Sheet'!$AY$5:$AY$504,Calculations!$K$1)</f>
        <v>0</v>
      </c>
    </row>
    <row r="172" spans="1:14" ht="15.75" customHeight="1">
      <c r="A172" s="17" t="str">
        <f>'Demographic Descriptions'!D144</f>
        <v>Nepalese</v>
      </c>
      <c r="B172" s="17">
        <f>COUNTIFS('Tracking Sheet'!$H$5:$H$504,Calculations!A172,'Tracking Sheet'!$AL$5:$AL$504,"active")</f>
        <v>0</v>
      </c>
      <c r="C172" s="29"/>
      <c r="F172" s="17" t="s">
        <v>21</v>
      </c>
      <c r="G172" s="17" t="str">
        <f>'Demographic Descriptions'!M34</f>
        <v>Position 32</v>
      </c>
      <c r="H172" s="17">
        <f ca="1">COUNTIFS('Tracking Sheet'!$AM$5:$AM$504,Calculations!G172,'Tracking Sheet'!$AI$5:$AI$504,"Quarter 1",'Tracking Sheet'!$AX$5:$AX$504,Calculations!$K$1)</f>
        <v>0</v>
      </c>
      <c r="L172" s="17" t="s">
        <v>21</v>
      </c>
      <c r="M172" s="17" t="str">
        <f>'Demographic Descriptions'!M34</f>
        <v>Position 32</v>
      </c>
      <c r="N172" s="17">
        <f ca="1">COUNTIFS('Tracking Sheet'!$AM$5:$AM$504,Calculations!M172,'Tracking Sheet'!$AV$5:$AV$504,"Quarter 1",'Tracking Sheet'!$AY$5:$AY$504,Calculations!$K$1)</f>
        <v>0</v>
      </c>
    </row>
    <row r="173" spans="1:14" ht="15.75" customHeight="1">
      <c r="A173" s="17" t="str">
        <f>'Demographic Descriptions'!D145</f>
        <v>New Zealander</v>
      </c>
      <c r="B173" s="17">
        <f>COUNTIFS('Tracking Sheet'!$H$5:$H$504,Calculations!A173,'Tracking Sheet'!$AL$5:$AL$504,"active")</f>
        <v>0</v>
      </c>
      <c r="C173" s="29"/>
      <c r="F173" s="17" t="s">
        <v>21</v>
      </c>
      <c r="G173" s="17" t="str">
        <f>'Demographic Descriptions'!M35</f>
        <v>Position 33</v>
      </c>
      <c r="H173" s="17">
        <f ca="1">COUNTIFS('Tracking Sheet'!$AM$5:$AM$504,Calculations!G173,'Tracking Sheet'!$AI$5:$AI$504,"Quarter 1",'Tracking Sheet'!$AX$5:$AX$504,Calculations!$K$1)</f>
        <v>0</v>
      </c>
      <c r="L173" s="17" t="s">
        <v>21</v>
      </c>
      <c r="M173" s="17" t="str">
        <f>'Demographic Descriptions'!M35</f>
        <v>Position 33</v>
      </c>
      <c r="N173" s="17">
        <f ca="1">COUNTIFS('Tracking Sheet'!$AM$5:$AM$504,Calculations!M173,'Tracking Sheet'!$AV$5:$AV$504,"Quarter 1",'Tracking Sheet'!$AY$5:$AY$504,Calculations!$K$1)</f>
        <v>0</v>
      </c>
    </row>
    <row r="174" spans="1:14" ht="15.75" customHeight="1">
      <c r="A174" s="17" t="str">
        <f>'Demographic Descriptions'!D146</f>
        <v>Nicaraguan</v>
      </c>
      <c r="B174" s="17">
        <f>COUNTIFS('Tracking Sheet'!$H$5:$H$504,Calculations!A174,'Tracking Sheet'!$AL$5:$AL$504,"active")</f>
        <v>0</v>
      </c>
      <c r="C174" s="29"/>
      <c r="F174" s="17" t="s">
        <v>21</v>
      </c>
      <c r="G174" s="17" t="str">
        <f>'Demographic Descriptions'!M36</f>
        <v>Position 34</v>
      </c>
      <c r="H174" s="17">
        <f ca="1">COUNTIFS('Tracking Sheet'!$AM$5:$AM$504,Calculations!G174,'Tracking Sheet'!$AI$5:$AI$504,"Quarter 1",'Tracking Sheet'!$AX$5:$AX$504,Calculations!$K$1)</f>
        <v>0</v>
      </c>
      <c r="L174" s="17" t="s">
        <v>21</v>
      </c>
      <c r="M174" s="17" t="str">
        <f>'Demographic Descriptions'!M36</f>
        <v>Position 34</v>
      </c>
      <c r="N174" s="17">
        <f ca="1">COUNTIFS('Tracking Sheet'!$AM$5:$AM$504,Calculations!M174,'Tracking Sheet'!$AV$5:$AV$504,"Quarter 1",'Tracking Sheet'!$AY$5:$AY$504,Calculations!$K$1)</f>
        <v>0</v>
      </c>
    </row>
    <row r="175" spans="1:14" ht="15.75" customHeight="1">
      <c r="A175" s="17" t="str">
        <f>'Demographic Descriptions'!D147</f>
        <v>Nigerian</v>
      </c>
      <c r="B175" s="17">
        <f>COUNTIFS('Tracking Sheet'!$H$5:$H$504,Calculations!A175,'Tracking Sheet'!$AL$5:$AL$504,"active")</f>
        <v>0</v>
      </c>
      <c r="C175" s="29"/>
      <c r="F175" s="17" t="s">
        <v>21</v>
      </c>
      <c r="G175" s="17" t="str">
        <f>'Demographic Descriptions'!M37</f>
        <v>Position 35</v>
      </c>
      <c r="H175" s="17">
        <f ca="1">COUNTIFS('Tracking Sheet'!$AM$5:$AM$504,Calculations!G175,'Tracking Sheet'!$AI$5:$AI$504,"Quarter 1",'Tracking Sheet'!$AX$5:$AX$504,Calculations!$K$1)</f>
        <v>0</v>
      </c>
      <c r="L175" s="17" t="s">
        <v>21</v>
      </c>
      <c r="M175" s="17" t="str">
        <f>'Demographic Descriptions'!M37</f>
        <v>Position 35</v>
      </c>
      <c r="N175" s="17">
        <f ca="1">COUNTIFS('Tracking Sheet'!$AM$5:$AM$504,Calculations!M175,'Tracking Sheet'!$AV$5:$AV$504,"Quarter 1",'Tracking Sheet'!$AY$5:$AY$504,Calculations!$K$1)</f>
        <v>0</v>
      </c>
    </row>
    <row r="176" spans="1:14" ht="15.75" customHeight="1">
      <c r="A176" s="17" t="str">
        <f>'Demographic Descriptions'!D148</f>
        <v>Nigerien</v>
      </c>
      <c r="B176" s="17">
        <f>COUNTIFS('Tracking Sheet'!$H$5:$H$504,Calculations!A176,'Tracking Sheet'!$AL$5:$AL$504,"active")</f>
        <v>0</v>
      </c>
      <c r="C176" s="29"/>
      <c r="F176" s="17" t="s">
        <v>21</v>
      </c>
      <c r="G176" s="17" t="str">
        <f>'Demographic Descriptions'!M38</f>
        <v>Position 36</v>
      </c>
      <c r="H176" s="17">
        <f ca="1">COUNTIFS('Tracking Sheet'!$AM$5:$AM$504,Calculations!G176,'Tracking Sheet'!$AI$5:$AI$504,"Quarter 1",'Tracking Sheet'!$AX$5:$AX$504,Calculations!$K$1)</f>
        <v>0</v>
      </c>
      <c r="L176" s="17" t="s">
        <v>21</v>
      </c>
      <c r="M176" s="17" t="str">
        <f>'Demographic Descriptions'!M38</f>
        <v>Position 36</v>
      </c>
      <c r="N176" s="17">
        <f ca="1">COUNTIFS('Tracking Sheet'!$AM$5:$AM$504,Calculations!M176,'Tracking Sheet'!$AV$5:$AV$504,"Quarter 1",'Tracking Sheet'!$AY$5:$AY$504,Calculations!$K$1)</f>
        <v>0</v>
      </c>
    </row>
    <row r="177" spans="1:14" ht="15.75" customHeight="1">
      <c r="A177" s="17" t="str">
        <f>'Demographic Descriptions'!D149</f>
        <v>Niuean</v>
      </c>
      <c r="B177" s="17">
        <f>COUNTIFS('Tracking Sheet'!$H$5:$H$504,Calculations!A177,'Tracking Sheet'!$AL$5:$AL$504,"active")</f>
        <v>0</v>
      </c>
      <c r="C177" s="29"/>
      <c r="F177" s="17" t="s">
        <v>21</v>
      </c>
      <c r="G177" s="17" t="str">
        <f>'Demographic Descriptions'!M39</f>
        <v>Position 37</v>
      </c>
      <c r="H177" s="17">
        <f ca="1">COUNTIFS('Tracking Sheet'!$AM$5:$AM$504,Calculations!G177,'Tracking Sheet'!$AI$5:$AI$504,"Quarter 1",'Tracking Sheet'!$AX$5:$AX$504,Calculations!$K$1)</f>
        <v>0</v>
      </c>
      <c r="L177" s="17" t="s">
        <v>21</v>
      </c>
      <c r="M177" s="17" t="str">
        <f>'Demographic Descriptions'!M39</f>
        <v>Position 37</v>
      </c>
      <c r="N177" s="17">
        <f ca="1">COUNTIFS('Tracking Sheet'!$AM$5:$AM$504,Calculations!M177,'Tracking Sheet'!$AV$5:$AV$504,"Quarter 1",'Tracking Sheet'!$AY$5:$AY$504,Calculations!$K$1)</f>
        <v>0</v>
      </c>
    </row>
    <row r="178" spans="1:14" ht="15.75" customHeight="1">
      <c r="A178" s="17" t="str">
        <f>'Demographic Descriptions'!D150</f>
        <v>North Korean</v>
      </c>
      <c r="B178" s="17">
        <f>COUNTIFS('Tracking Sheet'!$H$5:$H$504,Calculations!A178,'Tracking Sheet'!$AL$5:$AL$504,"active")</f>
        <v>0</v>
      </c>
      <c r="C178" s="29"/>
      <c r="F178" s="17" t="s">
        <v>21</v>
      </c>
      <c r="G178" s="17" t="str">
        <f>'Demographic Descriptions'!M40</f>
        <v>Position 38</v>
      </c>
      <c r="H178" s="17">
        <f ca="1">COUNTIFS('Tracking Sheet'!$AM$5:$AM$504,Calculations!G178,'Tracking Sheet'!$AI$5:$AI$504,"Quarter 1",'Tracking Sheet'!$AX$5:$AX$504,Calculations!$K$1)</f>
        <v>0</v>
      </c>
      <c r="L178" s="17" t="s">
        <v>21</v>
      </c>
      <c r="M178" s="17" t="str">
        <f>'Demographic Descriptions'!M40</f>
        <v>Position 38</v>
      </c>
      <c r="N178" s="17">
        <f ca="1">COUNTIFS('Tracking Sheet'!$AM$5:$AM$504,Calculations!M178,'Tracking Sheet'!$AV$5:$AV$504,"Quarter 1",'Tracking Sheet'!$AY$5:$AY$504,Calculations!$K$1)</f>
        <v>0</v>
      </c>
    </row>
    <row r="179" spans="1:14" ht="15.75" customHeight="1">
      <c r="A179" s="17" t="str">
        <f>'Demographic Descriptions'!D151</f>
        <v>Northern Irish</v>
      </c>
      <c r="B179" s="17">
        <f>COUNTIFS('Tracking Sheet'!$H$5:$H$504,Calculations!A179,'Tracking Sheet'!$AL$5:$AL$504,"active")</f>
        <v>0</v>
      </c>
      <c r="C179" s="29"/>
      <c r="F179" s="17" t="s">
        <v>21</v>
      </c>
      <c r="G179" s="17" t="str">
        <f>'Demographic Descriptions'!M41</f>
        <v>Position 39</v>
      </c>
      <c r="H179" s="17">
        <f ca="1">COUNTIFS('Tracking Sheet'!$AM$5:$AM$504,Calculations!G179,'Tracking Sheet'!$AI$5:$AI$504,"Quarter 1",'Tracking Sheet'!$AX$5:$AX$504,Calculations!$K$1)</f>
        <v>0</v>
      </c>
      <c r="L179" s="17" t="s">
        <v>21</v>
      </c>
      <c r="M179" s="17" t="str">
        <f>'Demographic Descriptions'!M41</f>
        <v>Position 39</v>
      </c>
      <c r="N179" s="17">
        <f ca="1">COUNTIFS('Tracking Sheet'!$AM$5:$AM$504,Calculations!M179,'Tracking Sheet'!$AV$5:$AV$504,"Quarter 1",'Tracking Sheet'!$AY$5:$AY$504,Calculations!$K$1)</f>
        <v>0</v>
      </c>
    </row>
    <row r="180" spans="1:14" ht="15.75" customHeight="1">
      <c r="A180" s="17" t="str">
        <f>'Demographic Descriptions'!D152</f>
        <v>Norwegian</v>
      </c>
      <c r="B180" s="17">
        <f>COUNTIFS('Tracking Sheet'!$H$5:$H$504,Calculations!A180,'Tracking Sheet'!$AL$5:$AL$504,"active")</f>
        <v>0</v>
      </c>
      <c r="C180" s="29"/>
      <c r="F180" s="17" t="s">
        <v>21</v>
      </c>
      <c r="G180" s="17" t="str">
        <f>'Demographic Descriptions'!M42</f>
        <v>Position 40</v>
      </c>
      <c r="H180" s="17">
        <f ca="1">COUNTIFS('Tracking Sheet'!$AM$5:$AM$504,Calculations!G180,'Tracking Sheet'!$AI$5:$AI$504,"Quarter 1",'Tracking Sheet'!$AX$5:$AX$504,Calculations!$K$1)</f>
        <v>0</v>
      </c>
      <c r="L180" s="17" t="s">
        <v>21</v>
      </c>
      <c r="M180" s="17" t="str">
        <f>'Demographic Descriptions'!M42</f>
        <v>Position 40</v>
      </c>
      <c r="N180" s="17">
        <f ca="1">COUNTIFS('Tracking Sheet'!$AM$5:$AM$504,Calculations!M180,'Tracking Sheet'!$AV$5:$AV$504,"Quarter 1",'Tracking Sheet'!$AY$5:$AY$504,Calculations!$K$1)</f>
        <v>0</v>
      </c>
    </row>
    <row r="181" spans="1:14" ht="15.75" customHeight="1">
      <c r="A181" s="17" t="str">
        <f>'Demographic Descriptions'!D153</f>
        <v>Omani</v>
      </c>
      <c r="B181" s="17">
        <f>COUNTIFS('Tracking Sheet'!$H$5:$H$504,Calculations!A181,'Tracking Sheet'!$AL$5:$AL$504,"active")</f>
        <v>0</v>
      </c>
      <c r="C181" s="29"/>
      <c r="F181" s="17" t="s">
        <v>21</v>
      </c>
      <c r="G181" s="17" t="str">
        <f>'Demographic Descriptions'!M43</f>
        <v>Position 41</v>
      </c>
      <c r="H181" s="17">
        <f ca="1">COUNTIFS('Tracking Sheet'!$AM$5:$AM$504,Calculations!G181,'Tracking Sheet'!$AI$5:$AI$504,"Quarter 1",'Tracking Sheet'!$AX$5:$AX$504,Calculations!$K$1)</f>
        <v>0</v>
      </c>
      <c r="L181" s="17" t="s">
        <v>21</v>
      </c>
      <c r="M181" s="17" t="str">
        <f>'Demographic Descriptions'!M43</f>
        <v>Position 41</v>
      </c>
      <c r="N181" s="17">
        <f ca="1">COUNTIFS('Tracking Sheet'!$AM$5:$AM$504,Calculations!M181,'Tracking Sheet'!$AV$5:$AV$504,"Quarter 1",'Tracking Sheet'!$AY$5:$AY$504,Calculations!$K$1)</f>
        <v>0</v>
      </c>
    </row>
    <row r="182" spans="1:14" ht="15.75" customHeight="1">
      <c r="A182" s="17" t="str">
        <f>'Demographic Descriptions'!D154</f>
        <v>Pakistani</v>
      </c>
      <c r="B182" s="17">
        <f>COUNTIFS('Tracking Sheet'!$H$5:$H$504,Calculations!A182,'Tracking Sheet'!$AL$5:$AL$504,"active")</f>
        <v>0</v>
      </c>
      <c r="C182" s="29"/>
      <c r="F182" s="17" t="s">
        <v>21</v>
      </c>
      <c r="G182" s="17" t="str">
        <f>'Demographic Descriptions'!M44</f>
        <v>Position 42</v>
      </c>
      <c r="H182" s="17">
        <f ca="1">COUNTIFS('Tracking Sheet'!$AM$5:$AM$504,Calculations!G182,'Tracking Sheet'!$AI$5:$AI$504,"Quarter 1",'Tracking Sheet'!$AX$5:$AX$504,Calculations!$K$1)</f>
        <v>0</v>
      </c>
      <c r="L182" s="17" t="s">
        <v>21</v>
      </c>
      <c r="M182" s="17" t="str">
        <f>'Demographic Descriptions'!M44</f>
        <v>Position 42</v>
      </c>
      <c r="N182" s="17">
        <f ca="1">COUNTIFS('Tracking Sheet'!$AM$5:$AM$504,Calculations!M182,'Tracking Sheet'!$AV$5:$AV$504,"Quarter 1",'Tracking Sheet'!$AY$5:$AY$504,Calculations!$K$1)</f>
        <v>0</v>
      </c>
    </row>
    <row r="183" spans="1:14" ht="15.75" customHeight="1">
      <c r="A183" s="17" t="str">
        <f>'Demographic Descriptions'!D155</f>
        <v>Palauan</v>
      </c>
      <c r="B183" s="17">
        <f>COUNTIFS('Tracking Sheet'!$H$5:$H$504,Calculations!A183,'Tracking Sheet'!$AL$5:$AL$504,"active")</f>
        <v>0</v>
      </c>
      <c r="C183" s="29"/>
      <c r="F183" s="17" t="s">
        <v>21</v>
      </c>
      <c r="G183" s="17" t="str">
        <f>'Demographic Descriptions'!M45</f>
        <v>Position 43</v>
      </c>
      <c r="H183" s="17">
        <f ca="1">COUNTIFS('Tracking Sheet'!$AM$5:$AM$504,Calculations!G183,'Tracking Sheet'!$AI$5:$AI$504,"Quarter 1",'Tracking Sheet'!$AX$5:$AX$504,Calculations!$K$1)</f>
        <v>0</v>
      </c>
      <c r="L183" s="17" t="s">
        <v>21</v>
      </c>
      <c r="M183" s="17" t="str">
        <f>'Demographic Descriptions'!M45</f>
        <v>Position 43</v>
      </c>
      <c r="N183" s="17">
        <f ca="1">COUNTIFS('Tracking Sheet'!$AM$5:$AM$504,Calculations!M183,'Tracking Sheet'!$AV$5:$AV$504,"Quarter 1",'Tracking Sheet'!$AY$5:$AY$504,Calculations!$K$1)</f>
        <v>0</v>
      </c>
    </row>
    <row r="184" spans="1:14" ht="15.75" customHeight="1">
      <c r="A184" s="17" t="str">
        <f>'Demographic Descriptions'!D156</f>
        <v>Palestinian</v>
      </c>
      <c r="B184" s="17">
        <f>COUNTIFS('Tracking Sheet'!$H$5:$H$504,Calculations!A184,'Tracking Sheet'!$AL$5:$AL$504,"active")</f>
        <v>0</v>
      </c>
      <c r="C184" s="29"/>
      <c r="F184" s="17" t="s">
        <v>21</v>
      </c>
      <c r="G184" s="17" t="str">
        <f>'Demographic Descriptions'!M46</f>
        <v>Position 44</v>
      </c>
      <c r="H184" s="17">
        <f ca="1">COUNTIFS('Tracking Sheet'!$AM$5:$AM$504,Calculations!G184,'Tracking Sheet'!$AI$5:$AI$504,"Quarter 1",'Tracking Sheet'!$AX$5:$AX$504,Calculations!$K$1)</f>
        <v>0</v>
      </c>
      <c r="L184" s="17" t="s">
        <v>21</v>
      </c>
      <c r="M184" s="17" t="str">
        <f>'Demographic Descriptions'!M46</f>
        <v>Position 44</v>
      </c>
      <c r="N184" s="17">
        <f ca="1">COUNTIFS('Tracking Sheet'!$AM$5:$AM$504,Calculations!M184,'Tracking Sheet'!$AV$5:$AV$504,"Quarter 1",'Tracking Sheet'!$AY$5:$AY$504,Calculations!$K$1)</f>
        <v>0</v>
      </c>
    </row>
    <row r="185" spans="1:14" ht="15.75" customHeight="1">
      <c r="A185" s="17" t="str">
        <f>'Demographic Descriptions'!D157</f>
        <v>Panamanian</v>
      </c>
      <c r="B185" s="17">
        <f>COUNTIFS('Tracking Sheet'!$H$5:$H$504,Calculations!A185,'Tracking Sheet'!$AL$5:$AL$504,"active")</f>
        <v>0</v>
      </c>
      <c r="C185" s="29"/>
      <c r="F185" s="17" t="s">
        <v>21</v>
      </c>
      <c r="G185" s="17" t="str">
        <f>'Demographic Descriptions'!M47</f>
        <v>Position 45</v>
      </c>
      <c r="H185" s="17">
        <f ca="1">COUNTIFS('Tracking Sheet'!$AM$5:$AM$504,Calculations!G185,'Tracking Sheet'!$AI$5:$AI$504,"Quarter 1",'Tracking Sheet'!$AX$5:$AX$504,Calculations!$K$1)</f>
        <v>0</v>
      </c>
      <c r="L185" s="17" t="s">
        <v>21</v>
      </c>
      <c r="M185" s="17" t="str">
        <f>'Demographic Descriptions'!M47</f>
        <v>Position 45</v>
      </c>
      <c r="N185" s="17">
        <f ca="1">COUNTIFS('Tracking Sheet'!$AM$5:$AM$504,Calculations!M185,'Tracking Sheet'!$AV$5:$AV$504,"Quarter 1",'Tracking Sheet'!$AY$5:$AY$504,Calculations!$K$1)</f>
        <v>0</v>
      </c>
    </row>
    <row r="186" spans="1:14" ht="15.75" customHeight="1">
      <c r="A186" s="17" t="str">
        <f>'Demographic Descriptions'!D158</f>
        <v>Papua New Guinean</v>
      </c>
      <c r="B186" s="17">
        <f>COUNTIFS('Tracking Sheet'!$H$5:$H$504,Calculations!A186,'Tracking Sheet'!$AL$5:$AL$504,"active")</f>
        <v>0</v>
      </c>
      <c r="C186" s="29"/>
      <c r="F186" s="17" t="s">
        <v>21</v>
      </c>
      <c r="G186" s="17" t="str">
        <f>'Demographic Descriptions'!M48</f>
        <v>Position 46</v>
      </c>
      <c r="H186" s="17">
        <f ca="1">COUNTIFS('Tracking Sheet'!$AM$5:$AM$504,Calculations!G186,'Tracking Sheet'!$AI$5:$AI$504,"Quarter 1",'Tracking Sheet'!$AX$5:$AX$504,Calculations!$K$1)</f>
        <v>0</v>
      </c>
      <c r="L186" s="17" t="s">
        <v>21</v>
      </c>
      <c r="M186" s="17" t="str">
        <f>'Demographic Descriptions'!M48</f>
        <v>Position 46</v>
      </c>
      <c r="N186" s="17">
        <f ca="1">COUNTIFS('Tracking Sheet'!$AM$5:$AM$504,Calculations!M186,'Tracking Sheet'!$AV$5:$AV$504,"Quarter 1",'Tracking Sheet'!$AY$5:$AY$504,Calculations!$K$1)</f>
        <v>0</v>
      </c>
    </row>
    <row r="187" spans="1:14" ht="15.75" customHeight="1">
      <c r="A187" s="17" t="str">
        <f>'Demographic Descriptions'!D159</f>
        <v>Paraguayan</v>
      </c>
      <c r="B187" s="17">
        <f>COUNTIFS('Tracking Sheet'!$H$5:$H$504,Calculations!A187,'Tracking Sheet'!$AL$5:$AL$504,"active")</f>
        <v>0</v>
      </c>
      <c r="C187" s="29"/>
      <c r="F187" s="17" t="s">
        <v>21</v>
      </c>
      <c r="G187" s="17" t="str">
        <f>'Demographic Descriptions'!M49</f>
        <v>Position 47</v>
      </c>
      <c r="H187" s="17">
        <f ca="1">COUNTIFS('Tracking Sheet'!$AM$5:$AM$504,Calculations!G187,'Tracking Sheet'!$AI$5:$AI$504,"Quarter 1",'Tracking Sheet'!$AX$5:$AX$504,Calculations!$K$1)</f>
        <v>0</v>
      </c>
      <c r="L187" s="17" t="s">
        <v>21</v>
      </c>
      <c r="M187" s="17" t="str">
        <f>'Demographic Descriptions'!M49</f>
        <v>Position 47</v>
      </c>
      <c r="N187" s="17">
        <f ca="1">COUNTIFS('Tracking Sheet'!$AM$5:$AM$504,Calculations!M187,'Tracking Sheet'!$AV$5:$AV$504,"Quarter 1",'Tracking Sheet'!$AY$5:$AY$504,Calculations!$K$1)</f>
        <v>0</v>
      </c>
    </row>
    <row r="188" spans="1:14" ht="15.75" customHeight="1">
      <c r="A188" s="17" t="str">
        <f>'Demographic Descriptions'!D160</f>
        <v>Peruvian</v>
      </c>
      <c r="B188" s="17">
        <f>COUNTIFS('Tracking Sheet'!$H$5:$H$504,Calculations!A188,'Tracking Sheet'!$AL$5:$AL$504,"active")</f>
        <v>0</v>
      </c>
      <c r="C188" s="29"/>
      <c r="F188" s="17" t="s">
        <v>21</v>
      </c>
      <c r="G188" s="17" t="str">
        <f>'Demographic Descriptions'!M50</f>
        <v>Position 48</v>
      </c>
      <c r="H188" s="17">
        <f ca="1">COUNTIFS('Tracking Sheet'!$AM$5:$AM$504,Calculations!G188,'Tracking Sheet'!$AI$5:$AI$504,"Quarter 1",'Tracking Sheet'!$AX$5:$AX$504,Calculations!$K$1)</f>
        <v>0</v>
      </c>
      <c r="L188" s="17" t="s">
        <v>21</v>
      </c>
      <c r="M188" s="17" t="str">
        <f>'Demographic Descriptions'!M50</f>
        <v>Position 48</v>
      </c>
      <c r="N188" s="17">
        <f ca="1">COUNTIFS('Tracking Sheet'!$AM$5:$AM$504,Calculations!M188,'Tracking Sheet'!$AV$5:$AV$504,"Quarter 1",'Tracking Sheet'!$AY$5:$AY$504,Calculations!$K$1)</f>
        <v>0</v>
      </c>
    </row>
    <row r="189" spans="1:14" ht="15.75" customHeight="1">
      <c r="A189" s="17" t="str">
        <f>'Demographic Descriptions'!D161</f>
        <v>Pitcairn Islander</v>
      </c>
      <c r="B189" s="17">
        <f>COUNTIFS('Tracking Sheet'!$H$5:$H$504,Calculations!A189,'Tracking Sheet'!$AL$5:$AL$504,"active")</f>
        <v>0</v>
      </c>
      <c r="C189" s="29"/>
      <c r="F189" s="17" t="s">
        <v>21</v>
      </c>
      <c r="G189" s="17" t="str">
        <f>'Demographic Descriptions'!M51</f>
        <v>Position 49</v>
      </c>
      <c r="H189" s="17">
        <f ca="1">COUNTIFS('Tracking Sheet'!$AM$5:$AM$504,Calculations!G189,'Tracking Sheet'!$AI$5:$AI$504,"Quarter 1",'Tracking Sheet'!$AX$5:$AX$504,Calculations!$K$1)</f>
        <v>0</v>
      </c>
      <c r="L189" s="17" t="s">
        <v>21</v>
      </c>
      <c r="M189" s="17" t="str">
        <f>'Demographic Descriptions'!M51</f>
        <v>Position 49</v>
      </c>
      <c r="N189" s="17">
        <f ca="1">COUNTIFS('Tracking Sheet'!$AM$5:$AM$504,Calculations!M189,'Tracking Sheet'!$AV$5:$AV$504,"Quarter 1",'Tracking Sheet'!$AY$5:$AY$504,Calculations!$K$1)</f>
        <v>0</v>
      </c>
    </row>
    <row r="190" spans="1:14" ht="15.75" customHeight="1" thickBot="1">
      <c r="A190" s="17" t="str">
        <f>'Demographic Descriptions'!D162</f>
        <v>Polish</v>
      </c>
      <c r="B190" s="17">
        <f>COUNTIFS('Tracking Sheet'!$H$5:$H$504,Calculations!A190,'Tracking Sheet'!$AL$5:$AL$504,"active")</f>
        <v>0</v>
      </c>
      <c r="C190" s="29"/>
      <c r="F190" s="20" t="s">
        <v>21</v>
      </c>
      <c r="G190" s="20" t="str">
        <f>'Demographic Descriptions'!M52</f>
        <v>Position 50</v>
      </c>
      <c r="H190" s="20">
        <f ca="1">COUNTIFS('Tracking Sheet'!$AM$5:$AM$504,Calculations!G190,'Tracking Sheet'!$AI$5:$AI$504,"Quarter 1",'Tracking Sheet'!$AX$5:$AX$504,Calculations!$K$1)</f>
        <v>0</v>
      </c>
      <c r="L190" s="20" t="s">
        <v>21</v>
      </c>
      <c r="M190" s="20" t="str">
        <f>'Demographic Descriptions'!M52</f>
        <v>Position 50</v>
      </c>
      <c r="N190" s="20">
        <f ca="1">COUNTIFS('Tracking Sheet'!$AM$5:$AM$504,Calculations!M190,'Tracking Sheet'!$AV$5:$AV$504,"Quarter 1",'Tracking Sheet'!$AY$5:$AY$504,Calculations!$K$1)</f>
        <v>0</v>
      </c>
    </row>
    <row r="191" spans="1:14" ht="15.75" customHeight="1" thickTop="1">
      <c r="A191" s="17" t="str">
        <f>'Demographic Descriptions'!D163</f>
        <v>Portuguese</v>
      </c>
      <c r="B191" s="17">
        <f>COUNTIFS('Tracking Sheet'!$H$5:$H$504,Calculations!A191,'Tracking Sheet'!$AL$5:$AL$504,"active")</f>
        <v>1</v>
      </c>
      <c r="C191" s="29"/>
      <c r="F191" s="17" t="s">
        <v>22</v>
      </c>
      <c r="G191" s="17" t="str">
        <f>'Demographic Descriptions'!M3</f>
        <v>Position 1</v>
      </c>
      <c r="H191" s="21">
        <f ca="1">COUNTIFS('Tracking Sheet'!$AM$5:$AM$504,Calculations!G191,'Tracking Sheet'!$AI$5:$AI$504,"Quarter 2",'Tracking Sheet'!$AX$5:$AX$504,Calculations!$K$1)</f>
        <v>0</v>
      </c>
      <c r="L191" s="17" t="s">
        <v>22</v>
      </c>
      <c r="M191" s="17" t="str">
        <f>'Demographic Descriptions'!M3</f>
        <v>Position 1</v>
      </c>
      <c r="N191" s="21">
        <f ca="1">COUNTIFS('Tracking Sheet'!$AM$5:$AM$504,Calculations!M191,'Tracking Sheet'!$AV$5:$AV$504,"Quarter 2",'Tracking Sheet'!$AY$5:$AY$504,Calculations!$K$1)</f>
        <v>0</v>
      </c>
    </row>
    <row r="192" spans="1:14" ht="15.75" customHeight="1">
      <c r="A192" s="17" t="str">
        <f>'Demographic Descriptions'!D164</f>
        <v>Prydeinig</v>
      </c>
      <c r="B192" s="17">
        <f>COUNTIFS('Tracking Sheet'!$H$5:$H$504,Calculations!A192,'Tracking Sheet'!$AL$5:$AL$504,"active")</f>
        <v>0</v>
      </c>
      <c r="C192" s="29"/>
      <c r="F192" s="17" t="s">
        <v>22</v>
      </c>
      <c r="G192" s="17" t="str">
        <f>'Demographic Descriptions'!M4</f>
        <v>Position 2</v>
      </c>
      <c r="H192" s="17">
        <f ca="1">COUNTIFS('Tracking Sheet'!$AM$5:$AM$504,Calculations!G192,'Tracking Sheet'!$AI$5:$AI$504,"Quarter 2",'Tracking Sheet'!$AX$5:$AX$504,Calculations!$K$1)</f>
        <v>0</v>
      </c>
      <c r="L192" s="17" t="s">
        <v>22</v>
      </c>
      <c r="M192" s="17" t="str">
        <f>'Demographic Descriptions'!M4</f>
        <v>Position 2</v>
      </c>
      <c r="N192" s="17">
        <f ca="1">COUNTIFS('Tracking Sheet'!$AM$5:$AM$504,Calculations!M192,'Tracking Sheet'!$AV$5:$AV$504,"Quarter 2",'Tracking Sheet'!$AY$5:$AY$504,Calculations!$K$1)</f>
        <v>0</v>
      </c>
    </row>
    <row r="193" spans="1:14" ht="15.75" customHeight="1">
      <c r="A193" s="17" t="str">
        <f>'Demographic Descriptions'!D165</f>
        <v>Puerto Rican</v>
      </c>
      <c r="B193" s="17">
        <f>COUNTIFS('Tracking Sheet'!$H$5:$H$504,Calculations!A193,'Tracking Sheet'!$AL$5:$AL$504,"active")</f>
        <v>0</v>
      </c>
      <c r="C193" s="29"/>
      <c r="F193" s="17" t="s">
        <v>22</v>
      </c>
      <c r="G193" s="17" t="str">
        <f>'Demographic Descriptions'!M5</f>
        <v>Position 3</v>
      </c>
      <c r="H193" s="17">
        <f ca="1">COUNTIFS('Tracking Sheet'!$AM$5:$AM$504,Calculations!G193,'Tracking Sheet'!$AI$5:$AI$504,"Quarter 2",'Tracking Sheet'!$AX$5:$AX$504,Calculations!$K$1)</f>
        <v>0</v>
      </c>
      <c r="L193" s="17" t="s">
        <v>22</v>
      </c>
      <c r="M193" s="17" t="str">
        <f>'Demographic Descriptions'!M5</f>
        <v>Position 3</v>
      </c>
      <c r="N193" s="17">
        <f ca="1">COUNTIFS('Tracking Sheet'!$AM$5:$AM$504,Calculations!M193,'Tracking Sheet'!$AV$5:$AV$504,"Quarter 2",'Tracking Sheet'!$AY$5:$AY$504,Calculations!$K$1)</f>
        <v>0</v>
      </c>
    </row>
    <row r="194" spans="1:14" ht="15.75" customHeight="1">
      <c r="A194" s="17" t="str">
        <f>'Demographic Descriptions'!D166</f>
        <v>Qatari</v>
      </c>
      <c r="B194" s="17">
        <f>COUNTIFS('Tracking Sheet'!$H$5:$H$504,Calculations!A194,'Tracking Sheet'!$AL$5:$AL$504,"active")</f>
        <v>0</v>
      </c>
      <c r="C194" s="29"/>
      <c r="F194" s="17" t="s">
        <v>22</v>
      </c>
      <c r="G194" s="17" t="str">
        <f>'Demographic Descriptions'!M6</f>
        <v>Position 4</v>
      </c>
      <c r="H194" s="17">
        <f ca="1">COUNTIFS('Tracking Sheet'!$AM$5:$AM$504,Calculations!G194,'Tracking Sheet'!$AI$5:$AI$504,"Quarter 2",'Tracking Sheet'!$AX$5:$AX$504,Calculations!$K$1)</f>
        <v>0</v>
      </c>
      <c r="L194" s="17" t="s">
        <v>22</v>
      </c>
      <c r="M194" s="17" t="str">
        <f>'Demographic Descriptions'!M6</f>
        <v>Position 4</v>
      </c>
      <c r="N194" s="17">
        <f ca="1">COUNTIFS('Tracking Sheet'!$AM$5:$AM$504,Calculations!M194,'Tracking Sheet'!$AV$5:$AV$504,"Quarter 2",'Tracking Sheet'!$AY$5:$AY$504,Calculations!$K$1)</f>
        <v>0</v>
      </c>
    </row>
    <row r="195" spans="1:14" ht="15.75" customHeight="1">
      <c r="A195" s="17" t="str">
        <f>'Demographic Descriptions'!D167</f>
        <v>Romanian</v>
      </c>
      <c r="B195" s="17">
        <f>COUNTIFS('Tracking Sheet'!$H$5:$H$504,Calculations!A195,'Tracking Sheet'!$AL$5:$AL$504,"active")</f>
        <v>0</v>
      </c>
      <c r="C195" s="29"/>
      <c r="F195" s="17" t="s">
        <v>22</v>
      </c>
      <c r="G195" s="17" t="str">
        <f>'Demographic Descriptions'!M7</f>
        <v>Position 5</v>
      </c>
      <c r="H195" s="17">
        <f ca="1">COUNTIFS('Tracking Sheet'!$AM$5:$AM$504,Calculations!G195,'Tracking Sheet'!$AI$5:$AI$504,"Quarter 2",'Tracking Sheet'!$AX$5:$AX$504,Calculations!$K$1)</f>
        <v>0</v>
      </c>
      <c r="L195" s="17" t="s">
        <v>22</v>
      </c>
      <c r="M195" s="17" t="str">
        <f>'Demographic Descriptions'!M7</f>
        <v>Position 5</v>
      </c>
      <c r="N195" s="17">
        <f ca="1">COUNTIFS('Tracking Sheet'!$AM$5:$AM$504,Calculations!M195,'Tracking Sheet'!$AV$5:$AV$504,"Quarter 2",'Tracking Sheet'!$AY$5:$AY$504,Calculations!$K$1)</f>
        <v>0</v>
      </c>
    </row>
    <row r="196" spans="1:14" ht="15.75" customHeight="1">
      <c r="A196" s="17" t="str">
        <f>'Demographic Descriptions'!D168</f>
        <v>Russian</v>
      </c>
      <c r="B196" s="17">
        <f>COUNTIFS('Tracking Sheet'!$H$5:$H$504,Calculations!A196,'Tracking Sheet'!$AL$5:$AL$504,"active")</f>
        <v>0</v>
      </c>
      <c r="C196" s="29"/>
      <c r="F196" s="17" t="s">
        <v>22</v>
      </c>
      <c r="G196" s="17" t="str">
        <f>'Demographic Descriptions'!M8</f>
        <v>Position 6</v>
      </c>
      <c r="H196" s="17">
        <f ca="1">COUNTIFS('Tracking Sheet'!$AM$5:$AM$504,Calculations!G196,'Tracking Sheet'!$AI$5:$AI$504,"Quarter 2",'Tracking Sheet'!$AX$5:$AX$504,Calculations!$K$1)</f>
        <v>0</v>
      </c>
      <c r="L196" s="17" t="s">
        <v>22</v>
      </c>
      <c r="M196" s="17" t="str">
        <f>'Demographic Descriptions'!M8</f>
        <v>Position 6</v>
      </c>
      <c r="N196" s="17">
        <f ca="1">COUNTIFS('Tracking Sheet'!$AM$5:$AM$504,Calculations!M196,'Tracking Sheet'!$AV$5:$AV$504,"Quarter 2",'Tracking Sheet'!$AY$5:$AY$504,Calculations!$K$1)</f>
        <v>0</v>
      </c>
    </row>
    <row r="197" spans="1:14" ht="15.75" customHeight="1">
      <c r="A197" s="17" t="str">
        <f>'Demographic Descriptions'!D169</f>
        <v>Rwandan</v>
      </c>
      <c r="B197" s="17">
        <f>COUNTIFS('Tracking Sheet'!$H$5:$H$504,Calculations!A197,'Tracking Sheet'!$AL$5:$AL$504,"active")</f>
        <v>0</v>
      </c>
      <c r="C197" s="29"/>
      <c r="F197" s="17" t="s">
        <v>22</v>
      </c>
      <c r="G197" s="17" t="str">
        <f>'Demographic Descriptions'!M9</f>
        <v>Position 7</v>
      </c>
      <c r="H197" s="17">
        <f ca="1">COUNTIFS('Tracking Sheet'!$AM$5:$AM$504,Calculations!G197,'Tracking Sheet'!$AI$5:$AI$504,"Quarter 2",'Tracking Sheet'!$AX$5:$AX$504,Calculations!$K$1)</f>
        <v>0</v>
      </c>
      <c r="L197" s="17" t="s">
        <v>22</v>
      </c>
      <c r="M197" s="17" t="str">
        <f>'Demographic Descriptions'!M9</f>
        <v>Position 7</v>
      </c>
      <c r="N197" s="17">
        <f ca="1">COUNTIFS('Tracking Sheet'!$AM$5:$AM$504,Calculations!M197,'Tracking Sheet'!$AV$5:$AV$504,"Quarter 2",'Tracking Sheet'!$AY$5:$AY$504,Calculations!$K$1)</f>
        <v>0</v>
      </c>
    </row>
    <row r="198" spans="1:14" ht="15.75" customHeight="1">
      <c r="A198" s="17" t="str">
        <f>'Demographic Descriptions'!D170</f>
        <v>Salvadorean</v>
      </c>
      <c r="B198" s="17">
        <f>COUNTIFS('Tracking Sheet'!$H$5:$H$504,Calculations!A198,'Tracking Sheet'!$AL$5:$AL$504,"active")</f>
        <v>0</v>
      </c>
      <c r="C198" s="29"/>
      <c r="F198" s="17" t="s">
        <v>22</v>
      </c>
      <c r="G198" s="17" t="str">
        <f>'Demographic Descriptions'!M10</f>
        <v>Position 8</v>
      </c>
      <c r="H198" s="17">
        <f ca="1">COUNTIFS('Tracking Sheet'!$AM$5:$AM$504,Calculations!G198,'Tracking Sheet'!$AI$5:$AI$504,"Quarter 2",'Tracking Sheet'!$AX$5:$AX$504,Calculations!$K$1)</f>
        <v>0</v>
      </c>
      <c r="L198" s="17" t="s">
        <v>22</v>
      </c>
      <c r="M198" s="17" t="str">
        <f>'Demographic Descriptions'!M10</f>
        <v>Position 8</v>
      </c>
      <c r="N198" s="17">
        <f ca="1">COUNTIFS('Tracking Sheet'!$AM$5:$AM$504,Calculations!M198,'Tracking Sheet'!$AV$5:$AV$504,"Quarter 2",'Tracking Sheet'!$AY$5:$AY$504,Calculations!$K$1)</f>
        <v>0</v>
      </c>
    </row>
    <row r="199" spans="1:14" ht="15.75" customHeight="1">
      <c r="A199" s="17" t="str">
        <f>'Demographic Descriptions'!D171</f>
        <v>Sammarinese</v>
      </c>
      <c r="B199" s="17">
        <f>COUNTIFS('Tracking Sheet'!$H$5:$H$504,Calculations!A199,'Tracking Sheet'!$AL$5:$AL$504,"active")</f>
        <v>0</v>
      </c>
      <c r="C199" s="29"/>
      <c r="F199" s="17" t="s">
        <v>22</v>
      </c>
      <c r="G199" s="17" t="str">
        <f>'Demographic Descriptions'!M11</f>
        <v>Position 9</v>
      </c>
      <c r="H199" s="17">
        <f ca="1">COUNTIFS('Tracking Sheet'!$AM$5:$AM$504,Calculations!G199,'Tracking Sheet'!$AI$5:$AI$504,"Quarter 2",'Tracking Sheet'!$AX$5:$AX$504,Calculations!$K$1)</f>
        <v>0</v>
      </c>
      <c r="L199" s="17" t="s">
        <v>22</v>
      </c>
      <c r="M199" s="17" t="str">
        <f>'Demographic Descriptions'!M11</f>
        <v>Position 9</v>
      </c>
      <c r="N199" s="17">
        <f ca="1">COUNTIFS('Tracking Sheet'!$AM$5:$AM$504,Calculations!M199,'Tracking Sheet'!$AV$5:$AV$504,"Quarter 2",'Tracking Sheet'!$AY$5:$AY$504,Calculations!$K$1)</f>
        <v>0</v>
      </c>
    </row>
    <row r="200" spans="1:14" ht="15.75" customHeight="1">
      <c r="A200" s="17" t="str">
        <f>'Demographic Descriptions'!D172</f>
        <v>Samoan</v>
      </c>
      <c r="B200" s="17">
        <f>COUNTIFS('Tracking Sheet'!$H$5:$H$504,Calculations!A200,'Tracking Sheet'!$AL$5:$AL$504,"active")</f>
        <v>0</v>
      </c>
      <c r="C200" s="29"/>
      <c r="F200" s="17" t="s">
        <v>22</v>
      </c>
      <c r="G200" s="17" t="str">
        <f>'Demographic Descriptions'!M12</f>
        <v>Position 10</v>
      </c>
      <c r="H200" s="17">
        <f ca="1">COUNTIFS('Tracking Sheet'!$AM$5:$AM$504,Calculations!G200,'Tracking Sheet'!$AI$5:$AI$504,"Quarter 2",'Tracking Sheet'!$AX$5:$AX$504,Calculations!$K$1)</f>
        <v>0</v>
      </c>
      <c r="L200" s="17" t="s">
        <v>22</v>
      </c>
      <c r="M200" s="17" t="str">
        <f>'Demographic Descriptions'!M12</f>
        <v>Position 10</v>
      </c>
      <c r="N200" s="17">
        <f ca="1">COUNTIFS('Tracking Sheet'!$AM$5:$AM$504,Calculations!M200,'Tracking Sheet'!$AV$5:$AV$504,"Quarter 2",'Tracking Sheet'!$AY$5:$AY$504,Calculations!$K$1)</f>
        <v>0</v>
      </c>
    </row>
    <row r="201" spans="1:14" ht="15.75" customHeight="1">
      <c r="A201" s="17" t="str">
        <f>'Demographic Descriptions'!D173</f>
        <v>Sao Tomean</v>
      </c>
      <c r="B201" s="17">
        <f>COUNTIFS('Tracking Sheet'!$H$5:$H$504,Calculations!A201,'Tracking Sheet'!$AL$5:$AL$504,"active")</f>
        <v>0</v>
      </c>
      <c r="C201" s="29"/>
      <c r="F201" s="17" t="s">
        <v>22</v>
      </c>
      <c r="G201" s="17" t="str">
        <f>'Demographic Descriptions'!M13</f>
        <v>Position 11</v>
      </c>
      <c r="H201" s="17">
        <f ca="1">COUNTIFS('Tracking Sheet'!$AM$5:$AM$504,Calculations!G201,'Tracking Sheet'!$AI$5:$AI$504,"Quarter 2",'Tracking Sheet'!$AX$5:$AX$504,Calculations!$K$1)</f>
        <v>0</v>
      </c>
      <c r="L201" s="17" t="s">
        <v>22</v>
      </c>
      <c r="M201" s="17" t="str">
        <f>'Demographic Descriptions'!M13</f>
        <v>Position 11</v>
      </c>
      <c r="N201" s="17">
        <f ca="1">COUNTIFS('Tracking Sheet'!$AM$5:$AM$504,Calculations!M201,'Tracking Sheet'!$AV$5:$AV$504,"Quarter 2",'Tracking Sheet'!$AY$5:$AY$504,Calculations!$K$1)</f>
        <v>0</v>
      </c>
    </row>
    <row r="202" spans="1:14" ht="15.75" customHeight="1">
      <c r="A202" s="17" t="str">
        <f>'Demographic Descriptions'!D174</f>
        <v>Saudi Arabian</v>
      </c>
      <c r="B202" s="17">
        <f>COUNTIFS('Tracking Sheet'!$H$5:$H$504,Calculations!A202,'Tracking Sheet'!$AL$5:$AL$504,"active")</f>
        <v>0</v>
      </c>
      <c r="C202" s="29"/>
      <c r="F202" s="17" t="s">
        <v>22</v>
      </c>
      <c r="G202" s="17" t="str">
        <f>'Demographic Descriptions'!M14</f>
        <v>Position 12</v>
      </c>
      <c r="H202" s="17">
        <f ca="1">COUNTIFS('Tracking Sheet'!$AM$5:$AM$504,Calculations!G202,'Tracking Sheet'!$AI$5:$AI$504,"Quarter 2",'Tracking Sheet'!$AX$5:$AX$504,Calculations!$K$1)</f>
        <v>0</v>
      </c>
      <c r="L202" s="17" t="s">
        <v>22</v>
      </c>
      <c r="M202" s="17" t="str">
        <f>'Demographic Descriptions'!M14</f>
        <v>Position 12</v>
      </c>
      <c r="N202" s="17">
        <f ca="1">COUNTIFS('Tracking Sheet'!$AM$5:$AM$504,Calculations!M202,'Tracking Sheet'!$AV$5:$AV$504,"Quarter 2",'Tracking Sheet'!$AY$5:$AY$504,Calculations!$K$1)</f>
        <v>0</v>
      </c>
    </row>
    <row r="203" spans="1:14" ht="15.75" customHeight="1">
      <c r="A203" s="17" t="str">
        <f>'Demographic Descriptions'!D175</f>
        <v>Scottish</v>
      </c>
      <c r="B203" s="17">
        <f>COUNTIFS('Tracking Sheet'!$H$5:$H$504,Calculations!A203,'Tracking Sheet'!$AL$5:$AL$504,"active")</f>
        <v>0</v>
      </c>
      <c r="C203" s="29"/>
      <c r="F203" s="17" t="s">
        <v>22</v>
      </c>
      <c r="G203" s="17" t="str">
        <f>'Demographic Descriptions'!M15</f>
        <v>Position 13</v>
      </c>
      <c r="H203" s="17">
        <f ca="1">COUNTIFS('Tracking Sheet'!$AM$5:$AM$504,Calculations!G203,'Tracking Sheet'!$AI$5:$AI$504,"Quarter 2",'Tracking Sheet'!$AX$5:$AX$504,Calculations!$K$1)</f>
        <v>0</v>
      </c>
      <c r="L203" s="17" t="s">
        <v>22</v>
      </c>
      <c r="M203" s="17" t="str">
        <f>'Demographic Descriptions'!M15</f>
        <v>Position 13</v>
      </c>
      <c r="N203" s="17">
        <f ca="1">COUNTIFS('Tracking Sheet'!$AM$5:$AM$504,Calculations!M203,'Tracking Sheet'!$AV$5:$AV$504,"Quarter 2",'Tracking Sheet'!$AY$5:$AY$504,Calculations!$K$1)</f>
        <v>0</v>
      </c>
    </row>
    <row r="204" spans="1:14" ht="15.75" customHeight="1">
      <c r="A204" s="17" t="str">
        <f>'Demographic Descriptions'!D176</f>
        <v>Senegalese</v>
      </c>
      <c r="B204" s="17">
        <f>COUNTIFS('Tracking Sheet'!$H$5:$H$504,Calculations!A204,'Tracking Sheet'!$AL$5:$AL$504,"active")</f>
        <v>0</v>
      </c>
      <c r="C204" s="29"/>
      <c r="F204" s="17" t="s">
        <v>22</v>
      </c>
      <c r="G204" s="17" t="str">
        <f>'Demographic Descriptions'!M16</f>
        <v>Position 14</v>
      </c>
      <c r="H204" s="17">
        <f ca="1">COUNTIFS('Tracking Sheet'!$AM$5:$AM$504,Calculations!G204,'Tracking Sheet'!$AI$5:$AI$504,"Quarter 2",'Tracking Sheet'!$AX$5:$AX$504,Calculations!$K$1)</f>
        <v>0</v>
      </c>
      <c r="L204" s="17" t="s">
        <v>22</v>
      </c>
      <c r="M204" s="17" t="str">
        <f>'Demographic Descriptions'!M16</f>
        <v>Position 14</v>
      </c>
      <c r="N204" s="17">
        <f ca="1">COUNTIFS('Tracking Sheet'!$AM$5:$AM$504,Calculations!M204,'Tracking Sheet'!$AV$5:$AV$504,"Quarter 2",'Tracking Sheet'!$AY$5:$AY$504,Calculations!$K$1)</f>
        <v>0</v>
      </c>
    </row>
    <row r="205" spans="1:14" ht="15.75" customHeight="1">
      <c r="A205" s="17" t="str">
        <f>'Demographic Descriptions'!D177</f>
        <v>Serbian</v>
      </c>
      <c r="B205" s="17">
        <f>COUNTIFS('Tracking Sheet'!$H$5:$H$504,Calculations!A205,'Tracking Sheet'!$AL$5:$AL$504,"active")</f>
        <v>0</v>
      </c>
      <c r="C205" s="29"/>
      <c r="F205" s="17" t="s">
        <v>22</v>
      </c>
      <c r="G205" s="17" t="str">
        <f>'Demographic Descriptions'!M17</f>
        <v>Position 15</v>
      </c>
      <c r="H205" s="17">
        <f ca="1">COUNTIFS('Tracking Sheet'!$AM$5:$AM$504,Calculations!G205,'Tracking Sheet'!$AI$5:$AI$504,"Quarter 2",'Tracking Sheet'!$AX$5:$AX$504,Calculations!$K$1)</f>
        <v>0</v>
      </c>
      <c r="L205" s="17" t="s">
        <v>22</v>
      </c>
      <c r="M205" s="17" t="str">
        <f>'Demographic Descriptions'!M17</f>
        <v>Position 15</v>
      </c>
      <c r="N205" s="17">
        <f ca="1">COUNTIFS('Tracking Sheet'!$AM$5:$AM$504,Calculations!M205,'Tracking Sheet'!$AV$5:$AV$504,"Quarter 2",'Tracking Sheet'!$AY$5:$AY$504,Calculations!$K$1)</f>
        <v>0</v>
      </c>
    </row>
    <row r="206" spans="1:14" ht="15.75" customHeight="1">
      <c r="A206" s="17" t="str">
        <f>'Demographic Descriptions'!D178</f>
        <v>Citizen of Seychelles</v>
      </c>
      <c r="B206" s="17">
        <f>COUNTIFS('Tracking Sheet'!$H$5:$H$504,Calculations!A206,'Tracking Sheet'!$AL$5:$AL$504,"active")</f>
        <v>0</v>
      </c>
      <c r="C206" s="29"/>
      <c r="F206" s="17" t="s">
        <v>22</v>
      </c>
      <c r="G206" s="17" t="str">
        <f>'Demographic Descriptions'!M18</f>
        <v>Position 16</v>
      </c>
      <c r="H206" s="17">
        <f ca="1">COUNTIFS('Tracking Sheet'!$AM$5:$AM$504,Calculations!G206,'Tracking Sheet'!$AI$5:$AI$504,"Quarter 2",'Tracking Sheet'!$AX$5:$AX$504,Calculations!$K$1)</f>
        <v>0</v>
      </c>
      <c r="L206" s="17" t="s">
        <v>22</v>
      </c>
      <c r="M206" s="17" t="str">
        <f>'Demographic Descriptions'!M18</f>
        <v>Position 16</v>
      </c>
      <c r="N206" s="17">
        <f ca="1">COUNTIFS('Tracking Sheet'!$AM$5:$AM$504,Calculations!M206,'Tracking Sheet'!$AV$5:$AV$504,"Quarter 2",'Tracking Sheet'!$AY$5:$AY$504,Calculations!$K$1)</f>
        <v>0</v>
      </c>
    </row>
    <row r="207" spans="1:14" ht="15.75" customHeight="1">
      <c r="A207" s="17" t="str">
        <f>'Demographic Descriptions'!D179</f>
        <v>Sierra Leonean</v>
      </c>
      <c r="B207" s="17">
        <f>COUNTIFS('Tracking Sheet'!$H$5:$H$504,Calculations!A207,'Tracking Sheet'!$AL$5:$AL$504,"active")</f>
        <v>0</v>
      </c>
      <c r="C207" s="29"/>
      <c r="F207" s="17" t="s">
        <v>22</v>
      </c>
      <c r="G207" s="17" t="str">
        <f>'Demographic Descriptions'!M19</f>
        <v>Position 17</v>
      </c>
      <c r="H207" s="17">
        <f ca="1">COUNTIFS('Tracking Sheet'!$AM$5:$AM$504,Calculations!G207,'Tracking Sheet'!$AI$5:$AI$504,"Quarter 2",'Tracking Sheet'!$AX$5:$AX$504,Calculations!$K$1)</f>
        <v>0</v>
      </c>
      <c r="L207" s="17" t="s">
        <v>22</v>
      </c>
      <c r="M207" s="17" t="str">
        <f>'Demographic Descriptions'!M19</f>
        <v>Position 17</v>
      </c>
      <c r="N207" s="17">
        <f ca="1">COUNTIFS('Tracking Sheet'!$AM$5:$AM$504,Calculations!M207,'Tracking Sheet'!$AV$5:$AV$504,"Quarter 2",'Tracking Sheet'!$AY$5:$AY$504,Calculations!$K$1)</f>
        <v>0</v>
      </c>
    </row>
    <row r="208" spans="1:14" ht="15.75" customHeight="1">
      <c r="A208" s="17" t="str">
        <f>'Demographic Descriptions'!D180</f>
        <v>Singaporean</v>
      </c>
      <c r="B208" s="17">
        <f>COUNTIFS('Tracking Sheet'!$H$5:$H$504,Calculations!A208,'Tracking Sheet'!$AL$5:$AL$504,"active")</f>
        <v>0</v>
      </c>
      <c r="C208" s="29"/>
      <c r="F208" s="17" t="s">
        <v>22</v>
      </c>
      <c r="G208" s="17" t="str">
        <f>'Demographic Descriptions'!M20</f>
        <v>Position 18</v>
      </c>
      <c r="H208" s="17">
        <f ca="1">COUNTIFS('Tracking Sheet'!$AM$5:$AM$504,Calculations!G208,'Tracking Sheet'!$AI$5:$AI$504,"Quarter 2",'Tracking Sheet'!$AX$5:$AX$504,Calculations!$K$1)</f>
        <v>0</v>
      </c>
      <c r="L208" s="17" t="s">
        <v>22</v>
      </c>
      <c r="M208" s="17" t="str">
        <f>'Demographic Descriptions'!M20</f>
        <v>Position 18</v>
      </c>
      <c r="N208" s="17">
        <f ca="1">COUNTIFS('Tracking Sheet'!$AM$5:$AM$504,Calculations!M208,'Tracking Sheet'!$AV$5:$AV$504,"Quarter 2",'Tracking Sheet'!$AY$5:$AY$504,Calculations!$K$1)</f>
        <v>0</v>
      </c>
    </row>
    <row r="209" spans="1:14" ht="15.75" customHeight="1">
      <c r="A209" s="17" t="str">
        <f>'Demographic Descriptions'!D181</f>
        <v>Slovak</v>
      </c>
      <c r="B209" s="17">
        <f>COUNTIFS('Tracking Sheet'!$H$5:$H$504,Calculations!A209,'Tracking Sheet'!$AL$5:$AL$504,"active")</f>
        <v>0</v>
      </c>
      <c r="C209" s="29"/>
      <c r="F209" s="17" t="s">
        <v>22</v>
      </c>
      <c r="G209" s="17" t="str">
        <f>'Demographic Descriptions'!M21</f>
        <v>Position 19</v>
      </c>
      <c r="H209" s="17">
        <f ca="1">COUNTIFS('Tracking Sheet'!$AM$5:$AM$504,Calculations!G209,'Tracking Sheet'!$AI$5:$AI$504,"Quarter 2",'Tracking Sheet'!$AX$5:$AX$504,Calculations!$K$1)</f>
        <v>0</v>
      </c>
      <c r="L209" s="17" t="s">
        <v>22</v>
      </c>
      <c r="M209" s="17" t="str">
        <f>'Demographic Descriptions'!M21</f>
        <v>Position 19</v>
      </c>
      <c r="N209" s="17">
        <f ca="1">COUNTIFS('Tracking Sheet'!$AM$5:$AM$504,Calculations!M209,'Tracking Sheet'!$AV$5:$AV$504,"Quarter 2",'Tracking Sheet'!$AY$5:$AY$504,Calculations!$K$1)</f>
        <v>0</v>
      </c>
    </row>
    <row r="210" spans="1:14" ht="15.75" customHeight="1">
      <c r="A210" s="17" t="str">
        <f>'Demographic Descriptions'!D182</f>
        <v>Slovenian</v>
      </c>
      <c r="B210" s="17">
        <f>COUNTIFS('Tracking Sheet'!$H$5:$H$504,Calculations!A210,'Tracking Sheet'!$AL$5:$AL$504,"active")</f>
        <v>0</v>
      </c>
      <c r="C210" s="29"/>
      <c r="F210" s="17" t="s">
        <v>22</v>
      </c>
      <c r="G210" s="17" t="str">
        <f>'Demographic Descriptions'!M22</f>
        <v>Position 20</v>
      </c>
      <c r="H210" s="17">
        <f ca="1">COUNTIFS('Tracking Sheet'!$AM$5:$AM$504,Calculations!G210,'Tracking Sheet'!$AI$5:$AI$504,"Quarter 2",'Tracking Sheet'!$AX$5:$AX$504,Calculations!$K$1)</f>
        <v>0</v>
      </c>
      <c r="L210" s="17" t="s">
        <v>22</v>
      </c>
      <c r="M210" s="17" t="str">
        <f>'Demographic Descriptions'!M22</f>
        <v>Position 20</v>
      </c>
      <c r="N210" s="17">
        <f ca="1">COUNTIFS('Tracking Sheet'!$AM$5:$AM$504,Calculations!M210,'Tracking Sheet'!$AV$5:$AV$504,"Quarter 2",'Tracking Sheet'!$AY$5:$AY$504,Calculations!$K$1)</f>
        <v>0</v>
      </c>
    </row>
    <row r="211" spans="1:14" ht="15.75" customHeight="1">
      <c r="A211" s="17" t="str">
        <f>'Demographic Descriptions'!D183</f>
        <v>Solomon Islander</v>
      </c>
      <c r="B211" s="17">
        <f>COUNTIFS('Tracking Sheet'!$H$5:$H$504,Calculations!A211,'Tracking Sheet'!$AL$5:$AL$504,"active")</f>
        <v>0</v>
      </c>
      <c r="C211" s="29"/>
      <c r="F211" s="17" t="s">
        <v>22</v>
      </c>
      <c r="G211" s="17" t="str">
        <f>'Demographic Descriptions'!M23</f>
        <v>Position 21</v>
      </c>
      <c r="H211" s="17">
        <f ca="1">COUNTIFS('Tracking Sheet'!$AM$5:$AM$504,Calculations!G211,'Tracking Sheet'!$AI$5:$AI$504,"Quarter 2",'Tracking Sheet'!$AX$5:$AX$504,Calculations!$K$1)</f>
        <v>0</v>
      </c>
      <c r="L211" s="17" t="s">
        <v>22</v>
      </c>
      <c r="M211" s="17" t="str">
        <f>'Demographic Descriptions'!M23</f>
        <v>Position 21</v>
      </c>
      <c r="N211" s="17">
        <f ca="1">COUNTIFS('Tracking Sheet'!$AM$5:$AM$504,Calculations!M211,'Tracking Sheet'!$AV$5:$AV$504,"Quarter 2",'Tracking Sheet'!$AY$5:$AY$504,Calculations!$K$1)</f>
        <v>0</v>
      </c>
    </row>
    <row r="212" spans="1:14" ht="15.75" customHeight="1">
      <c r="A212" s="17" t="str">
        <f>'Demographic Descriptions'!D184</f>
        <v>Somali</v>
      </c>
      <c r="B212" s="17">
        <f>COUNTIFS('Tracking Sheet'!$H$5:$H$504,Calculations!A212,'Tracking Sheet'!$AL$5:$AL$504,"active")</f>
        <v>0</v>
      </c>
      <c r="C212" s="29"/>
      <c r="F212" s="17" t="s">
        <v>22</v>
      </c>
      <c r="G212" s="17" t="str">
        <f>'Demographic Descriptions'!M24</f>
        <v>Position 22</v>
      </c>
      <c r="H212" s="17">
        <f ca="1">COUNTIFS('Tracking Sheet'!$AM$5:$AM$504,Calculations!G212,'Tracking Sheet'!$AI$5:$AI$504,"Quarter 2",'Tracking Sheet'!$AX$5:$AX$504,Calculations!$K$1)</f>
        <v>0</v>
      </c>
      <c r="L212" s="17" t="s">
        <v>22</v>
      </c>
      <c r="M212" s="17" t="str">
        <f>'Demographic Descriptions'!M24</f>
        <v>Position 22</v>
      </c>
      <c r="N212" s="17">
        <f ca="1">COUNTIFS('Tracking Sheet'!$AM$5:$AM$504,Calculations!M212,'Tracking Sheet'!$AV$5:$AV$504,"Quarter 2",'Tracking Sheet'!$AY$5:$AY$504,Calculations!$K$1)</f>
        <v>0</v>
      </c>
    </row>
    <row r="213" spans="1:14" ht="15.75" customHeight="1">
      <c r="A213" s="17" t="str">
        <f>'Demographic Descriptions'!D185</f>
        <v>South African</v>
      </c>
      <c r="B213" s="17">
        <f>COUNTIFS('Tracking Sheet'!$H$5:$H$504,Calculations!A213,'Tracking Sheet'!$AL$5:$AL$504,"active")</f>
        <v>0</v>
      </c>
      <c r="C213" s="29"/>
      <c r="F213" s="17" t="s">
        <v>22</v>
      </c>
      <c r="G213" s="17" t="str">
        <f>'Demographic Descriptions'!M25</f>
        <v>Position 23</v>
      </c>
      <c r="H213" s="17">
        <f ca="1">COUNTIFS('Tracking Sheet'!$AM$5:$AM$504,Calculations!G213,'Tracking Sheet'!$AI$5:$AI$504,"Quarter 2",'Tracking Sheet'!$AX$5:$AX$504,Calculations!$K$1)</f>
        <v>0</v>
      </c>
      <c r="L213" s="17" t="s">
        <v>22</v>
      </c>
      <c r="M213" s="17" t="str">
        <f>'Demographic Descriptions'!M25</f>
        <v>Position 23</v>
      </c>
      <c r="N213" s="17">
        <f ca="1">COUNTIFS('Tracking Sheet'!$AM$5:$AM$504,Calculations!M213,'Tracking Sheet'!$AV$5:$AV$504,"Quarter 2",'Tracking Sheet'!$AY$5:$AY$504,Calculations!$K$1)</f>
        <v>0</v>
      </c>
    </row>
    <row r="214" spans="1:14" ht="15.75" customHeight="1">
      <c r="A214" s="17" t="str">
        <f>'Demographic Descriptions'!D186</f>
        <v>South Korean</v>
      </c>
      <c r="B214" s="17">
        <f>COUNTIFS('Tracking Sheet'!$H$5:$H$504,Calculations!A214,'Tracking Sheet'!$AL$5:$AL$504,"active")</f>
        <v>0</v>
      </c>
      <c r="C214" s="29"/>
      <c r="F214" s="17" t="s">
        <v>22</v>
      </c>
      <c r="G214" s="17" t="str">
        <f>'Demographic Descriptions'!M26</f>
        <v>Position 24</v>
      </c>
      <c r="H214" s="17">
        <f ca="1">COUNTIFS('Tracking Sheet'!$AM$5:$AM$504,Calculations!G214,'Tracking Sheet'!$AI$5:$AI$504,"Quarter 2",'Tracking Sheet'!$AX$5:$AX$504,Calculations!$K$1)</f>
        <v>0</v>
      </c>
      <c r="L214" s="17" t="s">
        <v>22</v>
      </c>
      <c r="M214" s="17" t="str">
        <f>'Demographic Descriptions'!M26</f>
        <v>Position 24</v>
      </c>
      <c r="N214" s="17">
        <f ca="1">COUNTIFS('Tracking Sheet'!$AM$5:$AM$504,Calculations!M214,'Tracking Sheet'!$AV$5:$AV$504,"Quarter 2",'Tracking Sheet'!$AY$5:$AY$504,Calculations!$K$1)</f>
        <v>0</v>
      </c>
    </row>
    <row r="215" spans="1:14" ht="15.75" customHeight="1">
      <c r="A215" s="17" t="str">
        <f>'Demographic Descriptions'!D187</f>
        <v>South Sudanese</v>
      </c>
      <c r="B215" s="17">
        <f>COUNTIFS('Tracking Sheet'!$H$5:$H$504,Calculations!A215,'Tracking Sheet'!$AL$5:$AL$504,"active")</f>
        <v>0</v>
      </c>
      <c r="C215" s="29"/>
      <c r="F215" s="17" t="s">
        <v>22</v>
      </c>
      <c r="G215" s="17" t="str">
        <f>'Demographic Descriptions'!M27</f>
        <v>Position 25</v>
      </c>
      <c r="H215" s="17">
        <f ca="1">COUNTIFS('Tracking Sheet'!$AM$5:$AM$504,Calculations!G215,'Tracking Sheet'!$AI$5:$AI$504,"Quarter 2",'Tracking Sheet'!$AX$5:$AX$504,Calculations!$K$1)</f>
        <v>0</v>
      </c>
      <c r="L215" s="17" t="s">
        <v>22</v>
      </c>
      <c r="M215" s="17" t="str">
        <f>'Demographic Descriptions'!M27</f>
        <v>Position 25</v>
      </c>
      <c r="N215" s="17">
        <f ca="1">COUNTIFS('Tracking Sheet'!$AM$5:$AM$504,Calculations!M215,'Tracking Sheet'!$AV$5:$AV$504,"Quarter 2",'Tracking Sheet'!$AY$5:$AY$504,Calculations!$K$1)</f>
        <v>0</v>
      </c>
    </row>
    <row r="216" spans="1:14" ht="15.75" customHeight="1">
      <c r="A216" s="17" t="str">
        <f>'Demographic Descriptions'!D188</f>
        <v>Spanish</v>
      </c>
      <c r="B216" s="17">
        <f>COUNTIFS('Tracking Sheet'!$H$5:$H$504,Calculations!A216,'Tracking Sheet'!$AL$5:$AL$504,"active")</f>
        <v>0</v>
      </c>
      <c r="C216" s="29"/>
      <c r="F216" s="17" t="s">
        <v>22</v>
      </c>
      <c r="G216" s="17" t="str">
        <f>'Demographic Descriptions'!M28</f>
        <v>Position 26</v>
      </c>
      <c r="H216" s="17">
        <f ca="1">COUNTIFS('Tracking Sheet'!$AM$5:$AM$504,Calculations!G216,'Tracking Sheet'!$AI$5:$AI$504,"Quarter 2",'Tracking Sheet'!$AX$5:$AX$504,Calculations!$K$1)</f>
        <v>0</v>
      </c>
      <c r="L216" s="17" t="s">
        <v>22</v>
      </c>
      <c r="M216" s="17" t="str">
        <f>'Demographic Descriptions'!M28</f>
        <v>Position 26</v>
      </c>
      <c r="N216" s="17">
        <f ca="1">COUNTIFS('Tracking Sheet'!$AM$5:$AM$504,Calculations!M216,'Tracking Sheet'!$AV$5:$AV$504,"Quarter 2",'Tracking Sheet'!$AY$5:$AY$504,Calculations!$K$1)</f>
        <v>0</v>
      </c>
    </row>
    <row r="217" spans="1:14" ht="15.75" customHeight="1">
      <c r="A217" s="17" t="str">
        <f>'Demographic Descriptions'!D189</f>
        <v>Sri Lankan</v>
      </c>
      <c r="B217" s="17">
        <f>COUNTIFS('Tracking Sheet'!$H$5:$H$504,Calculations!A217,'Tracking Sheet'!$AL$5:$AL$504,"active")</f>
        <v>0</v>
      </c>
      <c r="C217" s="29"/>
      <c r="F217" s="17" t="s">
        <v>22</v>
      </c>
      <c r="G217" s="17" t="str">
        <f>'Demographic Descriptions'!M29</f>
        <v>Position 27</v>
      </c>
      <c r="H217" s="17">
        <f ca="1">COUNTIFS('Tracking Sheet'!$AM$5:$AM$504,Calculations!G217,'Tracking Sheet'!$AI$5:$AI$504,"Quarter 2",'Tracking Sheet'!$AX$5:$AX$504,Calculations!$K$1)</f>
        <v>0</v>
      </c>
      <c r="L217" s="17" t="s">
        <v>22</v>
      </c>
      <c r="M217" s="17" t="str">
        <f>'Demographic Descriptions'!M29</f>
        <v>Position 27</v>
      </c>
      <c r="N217" s="17">
        <f ca="1">COUNTIFS('Tracking Sheet'!$AM$5:$AM$504,Calculations!M217,'Tracking Sheet'!$AV$5:$AV$504,"Quarter 2",'Tracking Sheet'!$AY$5:$AY$504,Calculations!$K$1)</f>
        <v>0</v>
      </c>
    </row>
    <row r="218" spans="1:14" ht="15.75" customHeight="1">
      <c r="A218" s="17" t="str">
        <f>'Demographic Descriptions'!D190</f>
        <v>St Helenian</v>
      </c>
      <c r="B218" s="17">
        <f>COUNTIFS('Tracking Sheet'!$H$5:$H$504,Calculations!A218,'Tracking Sheet'!$AL$5:$AL$504,"active")</f>
        <v>0</v>
      </c>
      <c r="C218" s="29"/>
      <c r="F218" s="17" t="s">
        <v>22</v>
      </c>
      <c r="G218" s="17" t="str">
        <f>'Demographic Descriptions'!M30</f>
        <v>Position 28</v>
      </c>
      <c r="H218" s="17">
        <f ca="1">COUNTIFS('Tracking Sheet'!$AM$5:$AM$504,Calculations!G218,'Tracking Sheet'!$AI$5:$AI$504,"Quarter 2",'Tracking Sheet'!$AX$5:$AX$504,Calculations!$K$1)</f>
        <v>0</v>
      </c>
      <c r="L218" s="17" t="s">
        <v>22</v>
      </c>
      <c r="M218" s="17" t="str">
        <f>'Demographic Descriptions'!M30</f>
        <v>Position 28</v>
      </c>
      <c r="N218" s="17">
        <f ca="1">COUNTIFS('Tracking Sheet'!$AM$5:$AM$504,Calculations!M218,'Tracking Sheet'!$AV$5:$AV$504,"Quarter 2",'Tracking Sheet'!$AY$5:$AY$504,Calculations!$K$1)</f>
        <v>0</v>
      </c>
    </row>
    <row r="219" spans="1:14" ht="15.75" customHeight="1">
      <c r="A219" s="17" t="str">
        <f>'Demographic Descriptions'!D191</f>
        <v>St Lucian</v>
      </c>
      <c r="B219" s="17">
        <f>COUNTIFS('Tracking Sheet'!$H$5:$H$504,Calculations!A219,'Tracking Sheet'!$AL$5:$AL$504,"active")</f>
        <v>0</v>
      </c>
      <c r="C219" s="29"/>
      <c r="F219" s="17" t="s">
        <v>22</v>
      </c>
      <c r="G219" s="17" t="str">
        <f>'Demographic Descriptions'!M31</f>
        <v>Position 29</v>
      </c>
      <c r="H219" s="17">
        <f ca="1">COUNTIFS('Tracking Sheet'!$AM$5:$AM$504,Calculations!G219,'Tracking Sheet'!$AI$5:$AI$504,"Quarter 2",'Tracking Sheet'!$AX$5:$AX$504,Calculations!$K$1)</f>
        <v>0</v>
      </c>
      <c r="L219" s="17" t="s">
        <v>22</v>
      </c>
      <c r="M219" s="17" t="str">
        <f>'Demographic Descriptions'!M31</f>
        <v>Position 29</v>
      </c>
      <c r="N219" s="17">
        <f ca="1">COUNTIFS('Tracking Sheet'!$AM$5:$AM$504,Calculations!M219,'Tracking Sheet'!$AV$5:$AV$504,"Quarter 2",'Tracking Sheet'!$AY$5:$AY$504,Calculations!$K$1)</f>
        <v>0</v>
      </c>
    </row>
    <row r="220" spans="1:14" ht="15.75" customHeight="1">
      <c r="A220" s="17" t="str">
        <f>'Demographic Descriptions'!D192</f>
        <v>Sudanese</v>
      </c>
      <c r="B220" s="17">
        <f>COUNTIFS('Tracking Sheet'!$H$5:$H$504,Calculations!A220,'Tracking Sheet'!$AL$5:$AL$504,"active")</f>
        <v>0</v>
      </c>
      <c r="C220" s="29"/>
      <c r="F220" s="17" t="s">
        <v>22</v>
      </c>
      <c r="G220" s="17" t="str">
        <f>'Demographic Descriptions'!M32</f>
        <v>Position 30</v>
      </c>
      <c r="H220" s="17">
        <f ca="1">COUNTIFS('Tracking Sheet'!$AM$5:$AM$504,Calculations!G220,'Tracking Sheet'!$AI$5:$AI$504,"Quarter 2",'Tracking Sheet'!$AX$5:$AX$504,Calculations!$K$1)</f>
        <v>0</v>
      </c>
      <c r="L220" s="17" t="s">
        <v>22</v>
      </c>
      <c r="M220" s="17" t="str">
        <f>'Demographic Descriptions'!M32</f>
        <v>Position 30</v>
      </c>
      <c r="N220" s="17">
        <f ca="1">COUNTIFS('Tracking Sheet'!$AM$5:$AM$504,Calculations!M220,'Tracking Sheet'!$AV$5:$AV$504,"Quarter 2",'Tracking Sheet'!$AY$5:$AY$504,Calculations!$K$1)</f>
        <v>0</v>
      </c>
    </row>
    <row r="221" spans="1:14" ht="15.75" customHeight="1">
      <c r="A221" s="17" t="str">
        <f>'Demographic Descriptions'!D193</f>
        <v>Surinamese</v>
      </c>
      <c r="B221" s="17">
        <f>COUNTIFS('Tracking Sheet'!$H$5:$H$504,Calculations!A221,'Tracking Sheet'!$AL$5:$AL$504,"active")</f>
        <v>0</v>
      </c>
      <c r="C221" s="29"/>
      <c r="F221" s="17" t="s">
        <v>22</v>
      </c>
      <c r="G221" s="17" t="str">
        <f>'Demographic Descriptions'!M33</f>
        <v>Position 31</v>
      </c>
      <c r="H221" s="17">
        <f ca="1">COUNTIFS('Tracking Sheet'!$AM$5:$AM$504,Calculations!G221,'Tracking Sheet'!$AI$5:$AI$504,"Quarter 2",'Tracking Sheet'!$AX$5:$AX$504,Calculations!$K$1)</f>
        <v>0</v>
      </c>
      <c r="L221" s="17" t="s">
        <v>22</v>
      </c>
      <c r="M221" s="17" t="str">
        <f>'Demographic Descriptions'!M33</f>
        <v>Position 31</v>
      </c>
      <c r="N221" s="17">
        <f ca="1">COUNTIFS('Tracking Sheet'!$AM$5:$AM$504,Calculations!M221,'Tracking Sheet'!$AV$5:$AV$504,"Quarter 2",'Tracking Sheet'!$AY$5:$AY$504,Calculations!$K$1)</f>
        <v>0</v>
      </c>
    </row>
    <row r="222" spans="1:14" ht="15.75" customHeight="1">
      <c r="A222" s="17" t="str">
        <f>'Demographic Descriptions'!D194</f>
        <v>Swazi</v>
      </c>
      <c r="B222" s="17">
        <f>COUNTIFS('Tracking Sheet'!$H$5:$H$504,Calculations!A222,'Tracking Sheet'!$AL$5:$AL$504,"active")</f>
        <v>0</v>
      </c>
      <c r="C222" s="29"/>
      <c r="F222" s="17" t="s">
        <v>22</v>
      </c>
      <c r="G222" s="17" t="str">
        <f>'Demographic Descriptions'!M34</f>
        <v>Position 32</v>
      </c>
      <c r="H222" s="17">
        <f ca="1">COUNTIFS('Tracking Sheet'!$AM$5:$AM$504,Calculations!G222,'Tracking Sheet'!$AI$5:$AI$504,"Quarter 2",'Tracking Sheet'!$AX$5:$AX$504,Calculations!$K$1)</f>
        <v>0</v>
      </c>
      <c r="L222" s="17" t="s">
        <v>22</v>
      </c>
      <c r="M222" s="17" t="str">
        <f>'Demographic Descriptions'!M34</f>
        <v>Position 32</v>
      </c>
      <c r="N222" s="17">
        <f ca="1">COUNTIFS('Tracking Sheet'!$AM$5:$AM$504,Calculations!M222,'Tracking Sheet'!$AV$5:$AV$504,"Quarter 2",'Tracking Sheet'!$AY$5:$AY$504,Calculations!$K$1)</f>
        <v>0</v>
      </c>
    </row>
    <row r="223" spans="1:14" ht="15.75" customHeight="1">
      <c r="A223" s="17" t="str">
        <f>'Demographic Descriptions'!D195</f>
        <v>Swedish</v>
      </c>
      <c r="B223" s="17">
        <f>COUNTIFS('Tracking Sheet'!$H$5:$H$504,Calculations!A223,'Tracking Sheet'!$AL$5:$AL$504,"active")</f>
        <v>0</v>
      </c>
      <c r="C223" s="29"/>
      <c r="F223" s="17" t="s">
        <v>22</v>
      </c>
      <c r="G223" s="17" t="str">
        <f>'Demographic Descriptions'!M35</f>
        <v>Position 33</v>
      </c>
      <c r="H223" s="17">
        <f ca="1">COUNTIFS('Tracking Sheet'!$AM$5:$AM$504,Calculations!G223,'Tracking Sheet'!$AI$5:$AI$504,"Quarter 2",'Tracking Sheet'!$AX$5:$AX$504,Calculations!$K$1)</f>
        <v>0</v>
      </c>
      <c r="L223" s="17" t="s">
        <v>22</v>
      </c>
      <c r="M223" s="17" t="str">
        <f>'Demographic Descriptions'!M35</f>
        <v>Position 33</v>
      </c>
      <c r="N223" s="17">
        <f ca="1">COUNTIFS('Tracking Sheet'!$AM$5:$AM$504,Calculations!M223,'Tracking Sheet'!$AV$5:$AV$504,"Quarter 2",'Tracking Sheet'!$AY$5:$AY$504,Calculations!$K$1)</f>
        <v>0</v>
      </c>
    </row>
    <row r="224" spans="1:14" ht="15.75" customHeight="1">
      <c r="A224" s="17" t="str">
        <f>'Demographic Descriptions'!D196</f>
        <v>Swiss</v>
      </c>
      <c r="B224" s="17">
        <f>COUNTIFS('Tracking Sheet'!$H$5:$H$504,Calculations!A224,'Tracking Sheet'!$AL$5:$AL$504,"active")</f>
        <v>0</v>
      </c>
      <c r="C224" s="29"/>
      <c r="F224" s="17" t="s">
        <v>22</v>
      </c>
      <c r="G224" s="17" t="str">
        <f>'Demographic Descriptions'!M36</f>
        <v>Position 34</v>
      </c>
      <c r="H224" s="17">
        <f ca="1">COUNTIFS('Tracking Sheet'!$AM$5:$AM$504,Calculations!G224,'Tracking Sheet'!$AI$5:$AI$504,"Quarter 2",'Tracking Sheet'!$AX$5:$AX$504,Calculations!$K$1)</f>
        <v>0</v>
      </c>
      <c r="L224" s="17" t="s">
        <v>22</v>
      </c>
      <c r="M224" s="17" t="str">
        <f>'Demographic Descriptions'!M36</f>
        <v>Position 34</v>
      </c>
      <c r="N224" s="17">
        <f ca="1">COUNTIFS('Tracking Sheet'!$AM$5:$AM$504,Calculations!M224,'Tracking Sheet'!$AV$5:$AV$504,"Quarter 2",'Tracking Sheet'!$AY$5:$AY$504,Calculations!$K$1)</f>
        <v>0</v>
      </c>
    </row>
    <row r="225" spans="1:14" ht="15.75" customHeight="1">
      <c r="A225" s="17" t="str">
        <f>'Demographic Descriptions'!D197</f>
        <v>Syrian</v>
      </c>
      <c r="B225" s="17">
        <f>COUNTIFS('Tracking Sheet'!$H$5:$H$504,Calculations!A225,'Tracking Sheet'!$AL$5:$AL$504,"active")</f>
        <v>0</v>
      </c>
      <c r="C225" s="29"/>
      <c r="F225" s="17" t="s">
        <v>22</v>
      </c>
      <c r="G225" s="17" t="str">
        <f>'Demographic Descriptions'!M37</f>
        <v>Position 35</v>
      </c>
      <c r="H225" s="17">
        <f ca="1">COUNTIFS('Tracking Sheet'!$AM$5:$AM$504,Calculations!G225,'Tracking Sheet'!$AI$5:$AI$504,"Quarter 2",'Tracking Sheet'!$AX$5:$AX$504,Calculations!$K$1)</f>
        <v>0</v>
      </c>
      <c r="L225" s="17" t="s">
        <v>22</v>
      </c>
      <c r="M225" s="17" t="str">
        <f>'Demographic Descriptions'!M37</f>
        <v>Position 35</v>
      </c>
      <c r="N225" s="17">
        <f ca="1">COUNTIFS('Tracking Sheet'!$AM$5:$AM$504,Calculations!M225,'Tracking Sheet'!$AV$5:$AV$504,"Quarter 2",'Tracking Sheet'!$AY$5:$AY$504,Calculations!$K$1)</f>
        <v>0</v>
      </c>
    </row>
    <row r="226" spans="1:14" ht="15.75" customHeight="1">
      <c r="A226" s="17" t="str">
        <f>'Demographic Descriptions'!D198</f>
        <v>Taiwanese</v>
      </c>
      <c r="B226" s="17">
        <f>COUNTIFS('Tracking Sheet'!$H$5:$H$504,Calculations!A226,'Tracking Sheet'!$AL$5:$AL$504,"active")</f>
        <v>0</v>
      </c>
      <c r="C226" s="29"/>
      <c r="F226" s="17" t="s">
        <v>22</v>
      </c>
      <c r="G226" s="17" t="str">
        <f>'Demographic Descriptions'!M38</f>
        <v>Position 36</v>
      </c>
      <c r="H226" s="17">
        <f ca="1">COUNTIFS('Tracking Sheet'!$AM$5:$AM$504,Calculations!G226,'Tracking Sheet'!$AI$5:$AI$504,"Quarter 2",'Tracking Sheet'!$AX$5:$AX$504,Calculations!$K$1)</f>
        <v>0</v>
      </c>
      <c r="L226" s="17" t="s">
        <v>22</v>
      </c>
      <c r="M226" s="17" t="str">
        <f>'Demographic Descriptions'!M38</f>
        <v>Position 36</v>
      </c>
      <c r="N226" s="17">
        <f ca="1">COUNTIFS('Tracking Sheet'!$AM$5:$AM$504,Calculations!M226,'Tracking Sheet'!$AV$5:$AV$504,"Quarter 2",'Tracking Sheet'!$AY$5:$AY$504,Calculations!$K$1)</f>
        <v>0</v>
      </c>
    </row>
    <row r="227" spans="1:14" ht="15.75" customHeight="1">
      <c r="A227" s="17" t="str">
        <f>'Demographic Descriptions'!D199</f>
        <v>Tajik</v>
      </c>
      <c r="B227" s="17">
        <f>COUNTIFS('Tracking Sheet'!$H$5:$H$504,Calculations!A227,'Tracking Sheet'!$AL$5:$AL$504,"active")</f>
        <v>0</v>
      </c>
      <c r="C227" s="29"/>
      <c r="F227" s="17" t="s">
        <v>22</v>
      </c>
      <c r="G227" s="17" t="str">
        <f>'Demographic Descriptions'!M39</f>
        <v>Position 37</v>
      </c>
      <c r="H227" s="17">
        <f ca="1">COUNTIFS('Tracking Sheet'!$AM$5:$AM$504,Calculations!G227,'Tracking Sheet'!$AI$5:$AI$504,"Quarter 2",'Tracking Sheet'!$AX$5:$AX$504,Calculations!$K$1)</f>
        <v>0</v>
      </c>
      <c r="L227" s="17" t="s">
        <v>22</v>
      </c>
      <c r="M227" s="17" t="str">
        <f>'Demographic Descriptions'!M39</f>
        <v>Position 37</v>
      </c>
      <c r="N227" s="17">
        <f ca="1">COUNTIFS('Tracking Sheet'!$AM$5:$AM$504,Calculations!M227,'Tracking Sheet'!$AV$5:$AV$504,"Quarter 2",'Tracking Sheet'!$AY$5:$AY$504,Calculations!$K$1)</f>
        <v>0</v>
      </c>
    </row>
    <row r="228" spans="1:14" ht="15.75" customHeight="1">
      <c r="A228" s="17" t="str">
        <f>'Demographic Descriptions'!D200</f>
        <v>Tanzanian</v>
      </c>
      <c r="B228" s="17">
        <f>COUNTIFS('Tracking Sheet'!$H$5:$H$504,Calculations!A228,'Tracking Sheet'!$AL$5:$AL$504,"active")</f>
        <v>0</v>
      </c>
      <c r="C228" s="29"/>
      <c r="F228" s="17" t="s">
        <v>22</v>
      </c>
      <c r="G228" s="17" t="str">
        <f>'Demographic Descriptions'!M40</f>
        <v>Position 38</v>
      </c>
      <c r="H228" s="17">
        <f ca="1">COUNTIFS('Tracking Sheet'!$AM$5:$AM$504,Calculations!G228,'Tracking Sheet'!$AI$5:$AI$504,"Quarter 2",'Tracking Sheet'!$AX$5:$AX$504,Calculations!$K$1)</f>
        <v>0</v>
      </c>
      <c r="L228" s="17" t="s">
        <v>22</v>
      </c>
      <c r="M228" s="17" t="str">
        <f>'Demographic Descriptions'!M40</f>
        <v>Position 38</v>
      </c>
      <c r="N228" s="17">
        <f ca="1">COUNTIFS('Tracking Sheet'!$AM$5:$AM$504,Calculations!M228,'Tracking Sheet'!$AV$5:$AV$504,"Quarter 2",'Tracking Sheet'!$AY$5:$AY$504,Calculations!$K$1)</f>
        <v>0</v>
      </c>
    </row>
    <row r="229" spans="1:14" ht="15.75" customHeight="1">
      <c r="A229" s="17" t="str">
        <f>'Demographic Descriptions'!D201</f>
        <v>Thai</v>
      </c>
      <c r="B229" s="17">
        <f>COUNTIFS('Tracking Sheet'!$H$5:$H$504,Calculations!A229,'Tracking Sheet'!$AL$5:$AL$504,"active")</f>
        <v>0</v>
      </c>
      <c r="C229" s="29"/>
      <c r="F229" s="17" t="s">
        <v>22</v>
      </c>
      <c r="G229" s="17" t="str">
        <f>'Demographic Descriptions'!M41</f>
        <v>Position 39</v>
      </c>
      <c r="H229" s="17">
        <f ca="1">COUNTIFS('Tracking Sheet'!$AM$5:$AM$504,Calculations!G229,'Tracking Sheet'!$AI$5:$AI$504,"Quarter 2",'Tracking Sheet'!$AX$5:$AX$504,Calculations!$K$1)</f>
        <v>0</v>
      </c>
      <c r="L229" s="17" t="s">
        <v>22</v>
      </c>
      <c r="M229" s="17" t="str">
        <f>'Demographic Descriptions'!M41</f>
        <v>Position 39</v>
      </c>
      <c r="N229" s="17">
        <f ca="1">COUNTIFS('Tracking Sheet'!$AM$5:$AM$504,Calculations!M229,'Tracking Sheet'!$AV$5:$AV$504,"Quarter 2",'Tracking Sheet'!$AY$5:$AY$504,Calculations!$K$1)</f>
        <v>0</v>
      </c>
    </row>
    <row r="230" spans="1:14" ht="15.75" customHeight="1">
      <c r="A230" s="17" t="str">
        <f>'Demographic Descriptions'!D202</f>
        <v>Togolese</v>
      </c>
      <c r="B230" s="17">
        <f>COUNTIFS('Tracking Sheet'!$H$5:$H$504,Calculations!A230,'Tracking Sheet'!$AL$5:$AL$504,"active")</f>
        <v>0</v>
      </c>
      <c r="C230" s="29"/>
      <c r="F230" s="17" t="s">
        <v>22</v>
      </c>
      <c r="G230" s="17" t="str">
        <f>'Demographic Descriptions'!M42</f>
        <v>Position 40</v>
      </c>
      <c r="H230" s="17">
        <f ca="1">COUNTIFS('Tracking Sheet'!$AM$5:$AM$504,Calculations!G230,'Tracking Sheet'!$AI$5:$AI$504,"Quarter 2",'Tracking Sheet'!$AX$5:$AX$504,Calculations!$K$1)</f>
        <v>0</v>
      </c>
      <c r="L230" s="17" t="s">
        <v>22</v>
      </c>
      <c r="M230" s="17" t="str">
        <f>'Demographic Descriptions'!M42</f>
        <v>Position 40</v>
      </c>
      <c r="N230" s="17">
        <f ca="1">COUNTIFS('Tracking Sheet'!$AM$5:$AM$504,Calculations!M230,'Tracking Sheet'!$AV$5:$AV$504,"Quarter 2",'Tracking Sheet'!$AY$5:$AY$504,Calculations!$K$1)</f>
        <v>0</v>
      </c>
    </row>
    <row r="231" spans="1:14" ht="15.75" customHeight="1">
      <c r="A231" s="17" t="str">
        <f>'Demographic Descriptions'!D203</f>
        <v>Tongan</v>
      </c>
      <c r="B231" s="17">
        <f>COUNTIFS('Tracking Sheet'!$H$5:$H$504,Calculations!A231,'Tracking Sheet'!$AL$5:$AL$504,"active")</f>
        <v>0</v>
      </c>
      <c r="C231" s="29"/>
      <c r="F231" s="17" t="s">
        <v>22</v>
      </c>
      <c r="G231" s="17" t="str">
        <f>'Demographic Descriptions'!M43</f>
        <v>Position 41</v>
      </c>
      <c r="H231" s="17">
        <f ca="1">COUNTIFS('Tracking Sheet'!$AM$5:$AM$504,Calculations!G231,'Tracking Sheet'!$AI$5:$AI$504,"Quarter 2",'Tracking Sheet'!$AX$5:$AX$504,Calculations!$K$1)</f>
        <v>0</v>
      </c>
      <c r="L231" s="17" t="s">
        <v>22</v>
      </c>
      <c r="M231" s="17" t="str">
        <f>'Demographic Descriptions'!M43</f>
        <v>Position 41</v>
      </c>
      <c r="N231" s="17">
        <f ca="1">COUNTIFS('Tracking Sheet'!$AM$5:$AM$504,Calculations!M231,'Tracking Sheet'!$AV$5:$AV$504,"Quarter 2",'Tracking Sheet'!$AY$5:$AY$504,Calculations!$K$1)</f>
        <v>0</v>
      </c>
    </row>
    <row r="232" spans="1:14" ht="15.75" customHeight="1">
      <c r="A232" s="17" t="str">
        <f>'Demographic Descriptions'!D204</f>
        <v>Trinidadian</v>
      </c>
      <c r="B232" s="17">
        <f>COUNTIFS('Tracking Sheet'!$H$5:$H$504,Calculations!A232,'Tracking Sheet'!$AL$5:$AL$504,"active")</f>
        <v>0</v>
      </c>
      <c r="C232" s="29"/>
      <c r="F232" s="17" t="s">
        <v>22</v>
      </c>
      <c r="G232" s="17" t="str">
        <f>'Demographic Descriptions'!M44</f>
        <v>Position 42</v>
      </c>
      <c r="H232" s="17">
        <f ca="1">COUNTIFS('Tracking Sheet'!$AM$5:$AM$504,Calculations!G232,'Tracking Sheet'!$AI$5:$AI$504,"Quarter 2",'Tracking Sheet'!$AX$5:$AX$504,Calculations!$K$1)</f>
        <v>0</v>
      </c>
      <c r="L232" s="17" t="s">
        <v>22</v>
      </c>
      <c r="M232" s="17" t="str">
        <f>'Demographic Descriptions'!M44</f>
        <v>Position 42</v>
      </c>
      <c r="N232" s="17">
        <f ca="1">COUNTIFS('Tracking Sheet'!$AM$5:$AM$504,Calculations!M232,'Tracking Sheet'!$AV$5:$AV$504,"Quarter 2",'Tracking Sheet'!$AY$5:$AY$504,Calculations!$K$1)</f>
        <v>0</v>
      </c>
    </row>
    <row r="233" spans="1:14" ht="15.75" customHeight="1">
      <c r="A233" s="17" t="str">
        <f>'Demographic Descriptions'!D205</f>
        <v>Tristanian</v>
      </c>
      <c r="B233" s="17">
        <f>COUNTIFS('Tracking Sheet'!$H$5:$H$504,Calculations!A233,'Tracking Sheet'!$AL$5:$AL$504,"active")</f>
        <v>0</v>
      </c>
      <c r="C233" s="29"/>
      <c r="F233" s="17" t="s">
        <v>22</v>
      </c>
      <c r="G233" s="17" t="str">
        <f>'Demographic Descriptions'!M45</f>
        <v>Position 43</v>
      </c>
      <c r="H233" s="17">
        <f ca="1">COUNTIFS('Tracking Sheet'!$AM$5:$AM$504,Calculations!G233,'Tracking Sheet'!$AI$5:$AI$504,"Quarter 2",'Tracking Sheet'!$AX$5:$AX$504,Calculations!$K$1)</f>
        <v>0</v>
      </c>
      <c r="L233" s="17" t="s">
        <v>22</v>
      </c>
      <c r="M233" s="17" t="str">
        <f>'Demographic Descriptions'!M45</f>
        <v>Position 43</v>
      </c>
      <c r="N233" s="17">
        <f ca="1">COUNTIFS('Tracking Sheet'!$AM$5:$AM$504,Calculations!M233,'Tracking Sheet'!$AV$5:$AV$504,"Quarter 2",'Tracking Sheet'!$AY$5:$AY$504,Calculations!$K$1)</f>
        <v>0</v>
      </c>
    </row>
    <row r="234" spans="1:14" ht="15.75" customHeight="1">
      <c r="A234" s="17" t="str">
        <f>'Demographic Descriptions'!D206</f>
        <v>Tunisian</v>
      </c>
      <c r="B234" s="17">
        <f>COUNTIFS('Tracking Sheet'!$H$5:$H$504,Calculations!A234,'Tracking Sheet'!$AL$5:$AL$504,"active")</f>
        <v>0</v>
      </c>
      <c r="C234" s="29"/>
      <c r="F234" s="17" t="s">
        <v>22</v>
      </c>
      <c r="G234" s="17" t="str">
        <f>'Demographic Descriptions'!M46</f>
        <v>Position 44</v>
      </c>
      <c r="H234" s="17">
        <f ca="1">COUNTIFS('Tracking Sheet'!$AM$5:$AM$504,Calculations!G234,'Tracking Sheet'!$AI$5:$AI$504,"Quarter 2",'Tracking Sheet'!$AX$5:$AX$504,Calculations!$K$1)</f>
        <v>0</v>
      </c>
      <c r="L234" s="17" t="s">
        <v>22</v>
      </c>
      <c r="M234" s="17" t="str">
        <f>'Demographic Descriptions'!M46</f>
        <v>Position 44</v>
      </c>
      <c r="N234" s="17">
        <f ca="1">COUNTIFS('Tracking Sheet'!$AM$5:$AM$504,Calculations!M234,'Tracking Sheet'!$AV$5:$AV$504,"Quarter 2",'Tracking Sheet'!$AY$5:$AY$504,Calculations!$K$1)</f>
        <v>0</v>
      </c>
    </row>
    <row r="235" spans="1:14" ht="15.75" customHeight="1">
      <c r="A235" s="17" t="str">
        <f>'Demographic Descriptions'!D207</f>
        <v>Turkish</v>
      </c>
      <c r="B235" s="17">
        <f>COUNTIFS('Tracking Sheet'!$H$5:$H$504,Calculations!A235,'Tracking Sheet'!$AL$5:$AL$504,"active")</f>
        <v>0</v>
      </c>
      <c r="C235" s="29"/>
      <c r="F235" s="17" t="s">
        <v>22</v>
      </c>
      <c r="G235" s="17" t="str">
        <f>'Demographic Descriptions'!M47</f>
        <v>Position 45</v>
      </c>
      <c r="H235" s="17">
        <f ca="1">COUNTIFS('Tracking Sheet'!$AM$5:$AM$504,Calculations!G235,'Tracking Sheet'!$AI$5:$AI$504,"Quarter 2",'Tracking Sheet'!$AX$5:$AX$504,Calculations!$K$1)</f>
        <v>0</v>
      </c>
      <c r="L235" s="17" t="s">
        <v>22</v>
      </c>
      <c r="M235" s="17" t="str">
        <f>'Demographic Descriptions'!M47</f>
        <v>Position 45</v>
      </c>
      <c r="N235" s="17">
        <f ca="1">COUNTIFS('Tracking Sheet'!$AM$5:$AM$504,Calculations!M235,'Tracking Sheet'!$AV$5:$AV$504,"Quarter 2",'Tracking Sheet'!$AY$5:$AY$504,Calculations!$K$1)</f>
        <v>0</v>
      </c>
    </row>
    <row r="236" spans="1:14" ht="15.75" customHeight="1">
      <c r="A236" s="17" t="str">
        <f>'Demographic Descriptions'!D208</f>
        <v>Turkmen</v>
      </c>
      <c r="B236" s="17">
        <f>COUNTIFS('Tracking Sheet'!$H$5:$H$504,Calculations!A236,'Tracking Sheet'!$AL$5:$AL$504,"active")</f>
        <v>0</v>
      </c>
      <c r="C236" s="29"/>
      <c r="F236" s="17" t="s">
        <v>22</v>
      </c>
      <c r="G236" s="17" t="str">
        <f>'Demographic Descriptions'!M48</f>
        <v>Position 46</v>
      </c>
      <c r="H236" s="17">
        <f ca="1">COUNTIFS('Tracking Sheet'!$AM$5:$AM$504,Calculations!G236,'Tracking Sheet'!$AI$5:$AI$504,"Quarter 2",'Tracking Sheet'!$AX$5:$AX$504,Calculations!$K$1)</f>
        <v>0</v>
      </c>
      <c r="L236" s="17" t="s">
        <v>22</v>
      </c>
      <c r="M236" s="17" t="str">
        <f>'Demographic Descriptions'!M48</f>
        <v>Position 46</v>
      </c>
      <c r="N236" s="17">
        <f ca="1">COUNTIFS('Tracking Sheet'!$AM$5:$AM$504,Calculations!M236,'Tracking Sheet'!$AV$5:$AV$504,"Quarter 2",'Tracking Sheet'!$AY$5:$AY$504,Calculations!$K$1)</f>
        <v>0</v>
      </c>
    </row>
    <row r="237" spans="1:14" ht="15.75" customHeight="1">
      <c r="A237" s="17" t="str">
        <f>'Demographic Descriptions'!D209</f>
        <v>Turks and Caicos Islander</v>
      </c>
      <c r="B237" s="17">
        <f>COUNTIFS('Tracking Sheet'!$H$5:$H$504,Calculations!A237,'Tracking Sheet'!$AL$5:$AL$504,"active")</f>
        <v>0</v>
      </c>
      <c r="C237" s="29"/>
      <c r="F237" s="17" t="s">
        <v>22</v>
      </c>
      <c r="G237" s="17" t="str">
        <f>'Demographic Descriptions'!M49</f>
        <v>Position 47</v>
      </c>
      <c r="H237" s="17">
        <f ca="1">COUNTIFS('Tracking Sheet'!$AM$5:$AM$504,Calculations!G237,'Tracking Sheet'!$AI$5:$AI$504,"Quarter 2",'Tracking Sheet'!$AX$5:$AX$504,Calculations!$K$1)</f>
        <v>0</v>
      </c>
      <c r="L237" s="17" t="s">
        <v>22</v>
      </c>
      <c r="M237" s="17" t="str">
        <f>'Demographic Descriptions'!M49</f>
        <v>Position 47</v>
      </c>
      <c r="N237" s="17">
        <f ca="1">COUNTIFS('Tracking Sheet'!$AM$5:$AM$504,Calculations!M237,'Tracking Sheet'!$AV$5:$AV$504,"Quarter 2",'Tracking Sheet'!$AY$5:$AY$504,Calculations!$K$1)</f>
        <v>0</v>
      </c>
    </row>
    <row r="238" spans="1:14" ht="15.75" customHeight="1">
      <c r="A238" s="17" t="str">
        <f>'Demographic Descriptions'!D210</f>
        <v>Tuvaluan</v>
      </c>
      <c r="B238" s="17">
        <f>COUNTIFS('Tracking Sheet'!$H$5:$H$504,Calculations!A238,'Tracking Sheet'!$AL$5:$AL$504,"active")</f>
        <v>0</v>
      </c>
      <c r="C238" s="29"/>
      <c r="F238" s="17" t="s">
        <v>22</v>
      </c>
      <c r="G238" s="17" t="str">
        <f>'Demographic Descriptions'!M50</f>
        <v>Position 48</v>
      </c>
      <c r="H238" s="17">
        <f ca="1">COUNTIFS('Tracking Sheet'!$AM$5:$AM$504,Calculations!G238,'Tracking Sheet'!$AI$5:$AI$504,"Quarter 2",'Tracking Sheet'!$AX$5:$AX$504,Calculations!$K$1)</f>
        <v>0</v>
      </c>
      <c r="L238" s="17" t="s">
        <v>22</v>
      </c>
      <c r="M238" s="17" t="str">
        <f>'Demographic Descriptions'!M50</f>
        <v>Position 48</v>
      </c>
      <c r="N238" s="17">
        <f ca="1">COUNTIFS('Tracking Sheet'!$AM$5:$AM$504,Calculations!M238,'Tracking Sheet'!$AV$5:$AV$504,"Quarter 2",'Tracking Sheet'!$AY$5:$AY$504,Calculations!$K$1)</f>
        <v>0</v>
      </c>
    </row>
    <row r="239" spans="1:14" ht="15.75" customHeight="1">
      <c r="A239" s="17" t="str">
        <f>'Demographic Descriptions'!D211</f>
        <v>Ugandan</v>
      </c>
      <c r="B239" s="17">
        <f>COUNTIFS('Tracking Sheet'!$H$5:$H$504,Calculations!A239,'Tracking Sheet'!$AL$5:$AL$504,"active")</f>
        <v>0</v>
      </c>
      <c r="C239" s="29"/>
      <c r="F239" s="17" t="s">
        <v>22</v>
      </c>
      <c r="G239" s="17" t="str">
        <f>'Demographic Descriptions'!M51</f>
        <v>Position 49</v>
      </c>
      <c r="H239" s="17">
        <f ca="1">COUNTIFS('Tracking Sheet'!$AM$5:$AM$504,Calculations!G239,'Tracking Sheet'!$AI$5:$AI$504,"Quarter 2",'Tracking Sheet'!$AX$5:$AX$504,Calculations!$K$1)</f>
        <v>0</v>
      </c>
      <c r="L239" s="17" t="s">
        <v>22</v>
      </c>
      <c r="M239" s="17" t="str">
        <f>'Demographic Descriptions'!M51</f>
        <v>Position 49</v>
      </c>
      <c r="N239" s="17">
        <f ca="1">COUNTIFS('Tracking Sheet'!$AM$5:$AM$504,Calculations!M239,'Tracking Sheet'!$AV$5:$AV$504,"Quarter 2",'Tracking Sheet'!$AY$5:$AY$504,Calculations!$K$1)</f>
        <v>0</v>
      </c>
    </row>
    <row r="240" spans="1:14" ht="15.75" customHeight="1" thickBot="1">
      <c r="A240" s="17" t="str">
        <f>'Demographic Descriptions'!D212</f>
        <v>Ukrainian</v>
      </c>
      <c r="B240" s="17">
        <f>COUNTIFS('Tracking Sheet'!$H$5:$H$504,Calculations!A240,'Tracking Sheet'!$AL$5:$AL$504,"active")</f>
        <v>0</v>
      </c>
      <c r="C240" s="29"/>
      <c r="F240" s="20" t="s">
        <v>22</v>
      </c>
      <c r="G240" s="20" t="str">
        <f>'Demographic Descriptions'!M52</f>
        <v>Position 50</v>
      </c>
      <c r="H240" s="20">
        <f ca="1">COUNTIFS('Tracking Sheet'!$AM$5:$AM$504,Calculations!G240,'Tracking Sheet'!$AI$5:$AI$504,"Quarter 2",'Tracking Sheet'!$AX$5:$AX$504,Calculations!$K$1)</f>
        <v>0</v>
      </c>
      <c r="L240" s="20" t="s">
        <v>22</v>
      </c>
      <c r="M240" s="20" t="str">
        <f>'Demographic Descriptions'!M52</f>
        <v>Position 50</v>
      </c>
      <c r="N240" s="20">
        <f ca="1">COUNTIFS('Tracking Sheet'!$AM$5:$AM$504,Calculations!M240,'Tracking Sheet'!$AV$5:$AV$504,"Quarter 2",'Tracking Sheet'!$AY$5:$AY$504,Calculations!$K$1)</f>
        <v>0</v>
      </c>
    </row>
    <row r="241" spans="1:14" ht="15.75" customHeight="1" thickTop="1">
      <c r="A241" s="17" t="str">
        <f>'Demographic Descriptions'!D213</f>
        <v>Uruguayan</v>
      </c>
      <c r="B241" s="17">
        <f>COUNTIFS('Tracking Sheet'!$H$5:$H$504,Calculations!A241,'Tracking Sheet'!$AL$5:$AL$504,"active")</f>
        <v>0</v>
      </c>
      <c r="C241" s="29"/>
      <c r="F241" s="17" t="s">
        <v>25</v>
      </c>
      <c r="G241" s="17" t="str">
        <f>'Demographic Descriptions'!M3</f>
        <v>Position 1</v>
      </c>
      <c r="H241" s="21">
        <f ca="1">COUNTIFS('Tracking Sheet'!$AM$5:$AM$504,Calculations!G241,'Tracking Sheet'!$AI$5:$AI$504,"Quarter 3",'Tracking Sheet'!$AX$5:$AX$504,Calculations!$K$1)</f>
        <v>0</v>
      </c>
      <c r="L241" s="17" t="s">
        <v>25</v>
      </c>
      <c r="M241" s="17" t="str">
        <f>'Demographic Descriptions'!M3</f>
        <v>Position 1</v>
      </c>
      <c r="N241" s="21">
        <f ca="1">COUNTIFS('Tracking Sheet'!$AM$5:$AM$504,Calculations!M241,'Tracking Sheet'!$AV$5:$AV$504,"Quarter 3",'Tracking Sheet'!$AY$5:$AY$504,Calculations!$K$1)</f>
        <v>0</v>
      </c>
    </row>
    <row r="242" spans="1:14" ht="15.75" customHeight="1">
      <c r="A242" s="17" t="str">
        <f>'Demographic Descriptions'!D214</f>
        <v>Uzbek</v>
      </c>
      <c r="B242" s="17">
        <f>COUNTIFS('Tracking Sheet'!$H$5:$H$504,Calculations!A242,'Tracking Sheet'!$AL$5:$AL$504,"active")</f>
        <v>0</v>
      </c>
      <c r="C242" s="29"/>
      <c r="F242" s="17" t="s">
        <v>25</v>
      </c>
      <c r="G242" s="17" t="str">
        <f>'Demographic Descriptions'!M4</f>
        <v>Position 2</v>
      </c>
      <c r="H242" s="17">
        <f ca="1">COUNTIFS('Tracking Sheet'!$AM$5:$AM$504,Calculations!G242,'Tracking Sheet'!$AI$5:$AI$504,"Quarter 3",'Tracking Sheet'!$AX$5:$AX$504,Calculations!$K$1)</f>
        <v>0</v>
      </c>
      <c r="L242" s="17" t="s">
        <v>25</v>
      </c>
      <c r="M242" s="17" t="str">
        <f>'Demographic Descriptions'!M4</f>
        <v>Position 2</v>
      </c>
      <c r="N242" s="17">
        <f ca="1">COUNTIFS('Tracking Sheet'!$AM$5:$AM$504,Calculations!M242,'Tracking Sheet'!$AV$5:$AV$504,"Quarter 3",'Tracking Sheet'!$AY$5:$AY$504,Calculations!$K$1)</f>
        <v>0</v>
      </c>
    </row>
    <row r="243" spans="1:14" ht="15.75" customHeight="1">
      <c r="A243" s="17" t="str">
        <f>'Demographic Descriptions'!D215</f>
        <v>Vatican Citizen</v>
      </c>
      <c r="B243" s="17">
        <f>COUNTIFS('Tracking Sheet'!$H$5:$H$504,Calculations!A243,'Tracking Sheet'!$AL$5:$AL$504,"active")</f>
        <v>0</v>
      </c>
      <c r="C243" s="29"/>
      <c r="F243" s="17" t="s">
        <v>25</v>
      </c>
      <c r="G243" s="17" t="str">
        <f>'Demographic Descriptions'!M5</f>
        <v>Position 3</v>
      </c>
      <c r="H243" s="17">
        <f ca="1">COUNTIFS('Tracking Sheet'!$AM$5:$AM$504,Calculations!G243,'Tracking Sheet'!$AI$5:$AI$504,"Quarter 3",'Tracking Sheet'!$AX$5:$AX$504,Calculations!$K$1)</f>
        <v>0</v>
      </c>
      <c r="L243" s="17" t="s">
        <v>25</v>
      </c>
      <c r="M243" s="17" t="str">
        <f>'Demographic Descriptions'!M5</f>
        <v>Position 3</v>
      </c>
      <c r="N243" s="17">
        <f ca="1">COUNTIFS('Tracking Sheet'!$AM$5:$AM$504,Calculations!M243,'Tracking Sheet'!$AV$5:$AV$504,"Quarter 3",'Tracking Sheet'!$AY$5:$AY$504,Calculations!$K$1)</f>
        <v>0</v>
      </c>
    </row>
    <row r="244" spans="1:14" ht="15.75" customHeight="1">
      <c r="A244" s="17" t="str">
        <f>'Demographic Descriptions'!D216</f>
        <v>Citizen of Vanuatu</v>
      </c>
      <c r="B244" s="17">
        <f>COUNTIFS('Tracking Sheet'!$H$5:$H$504,Calculations!A244,'Tracking Sheet'!$AL$5:$AL$504,"active")</f>
        <v>0</v>
      </c>
      <c r="C244" s="29"/>
      <c r="F244" s="17" t="s">
        <v>25</v>
      </c>
      <c r="G244" s="17" t="str">
        <f>'Demographic Descriptions'!M6</f>
        <v>Position 4</v>
      </c>
      <c r="H244" s="17">
        <f ca="1">COUNTIFS('Tracking Sheet'!$AM$5:$AM$504,Calculations!G244,'Tracking Sheet'!$AI$5:$AI$504,"Quarter 3",'Tracking Sheet'!$AX$5:$AX$504,Calculations!$K$1)</f>
        <v>0</v>
      </c>
      <c r="L244" s="17" t="s">
        <v>25</v>
      </c>
      <c r="M244" s="17" t="str">
        <f>'Demographic Descriptions'!M6</f>
        <v>Position 4</v>
      </c>
      <c r="N244" s="17">
        <f ca="1">COUNTIFS('Tracking Sheet'!$AM$5:$AM$504,Calculations!M244,'Tracking Sheet'!$AV$5:$AV$504,"Quarter 3",'Tracking Sheet'!$AY$5:$AY$504,Calculations!$K$1)</f>
        <v>0</v>
      </c>
    </row>
    <row r="245" spans="1:14" ht="15.75" customHeight="1">
      <c r="A245" s="17" t="str">
        <f>'Demographic Descriptions'!D217</f>
        <v>Venezuelan</v>
      </c>
      <c r="B245" s="17">
        <f>COUNTIFS('Tracking Sheet'!$H$5:$H$504,Calculations!A245,'Tracking Sheet'!$AL$5:$AL$504,"active")</f>
        <v>0</v>
      </c>
      <c r="C245" s="29"/>
      <c r="F245" s="17" t="s">
        <v>25</v>
      </c>
      <c r="G245" s="17" t="str">
        <f>'Demographic Descriptions'!M7</f>
        <v>Position 5</v>
      </c>
      <c r="H245" s="17">
        <f ca="1">COUNTIFS('Tracking Sheet'!$AM$5:$AM$504,Calculations!G245,'Tracking Sheet'!$AI$5:$AI$504,"Quarter 3",'Tracking Sheet'!$AX$5:$AX$504,Calculations!$K$1)</f>
        <v>0</v>
      </c>
      <c r="L245" s="17" t="s">
        <v>25</v>
      </c>
      <c r="M245" s="17" t="str">
        <f>'Demographic Descriptions'!M7</f>
        <v>Position 5</v>
      </c>
      <c r="N245" s="17">
        <f ca="1">COUNTIFS('Tracking Sheet'!$AM$5:$AM$504,Calculations!M245,'Tracking Sheet'!$AV$5:$AV$504,"Quarter 3",'Tracking Sheet'!$AY$5:$AY$504,Calculations!$K$1)</f>
        <v>0</v>
      </c>
    </row>
    <row r="246" spans="1:14" ht="15.75" customHeight="1">
      <c r="A246" s="17" t="str">
        <f>'Demographic Descriptions'!D218</f>
        <v>Vietnamese</v>
      </c>
      <c r="B246" s="17">
        <f>COUNTIFS('Tracking Sheet'!$H$5:$H$504,Calculations!A246,'Tracking Sheet'!$AL$5:$AL$504,"active")</f>
        <v>0</v>
      </c>
      <c r="C246" s="29"/>
      <c r="F246" s="17" t="s">
        <v>25</v>
      </c>
      <c r="G246" s="17" t="str">
        <f>'Demographic Descriptions'!M8</f>
        <v>Position 6</v>
      </c>
      <c r="H246" s="17">
        <f ca="1">COUNTIFS('Tracking Sheet'!$AM$5:$AM$504,Calculations!G246,'Tracking Sheet'!$AI$5:$AI$504,"Quarter 3",'Tracking Sheet'!$AX$5:$AX$504,Calculations!$K$1)</f>
        <v>0</v>
      </c>
      <c r="L246" s="17" t="s">
        <v>25</v>
      </c>
      <c r="M246" s="17" t="str">
        <f>'Demographic Descriptions'!M8</f>
        <v>Position 6</v>
      </c>
      <c r="N246" s="17">
        <f ca="1">COUNTIFS('Tracking Sheet'!$AM$5:$AM$504,Calculations!M246,'Tracking Sheet'!$AV$5:$AV$504,"Quarter 3",'Tracking Sheet'!$AY$5:$AY$504,Calculations!$K$1)</f>
        <v>0</v>
      </c>
    </row>
    <row r="247" spans="1:14" ht="15.75" customHeight="1">
      <c r="A247" s="17" t="str">
        <f>'Demographic Descriptions'!D219</f>
        <v>Vincentian</v>
      </c>
      <c r="B247" s="17">
        <f>COUNTIFS('Tracking Sheet'!$H$5:$H$504,Calculations!A247,'Tracking Sheet'!$AL$5:$AL$504,"active")</f>
        <v>0</v>
      </c>
      <c r="C247" s="29"/>
      <c r="F247" s="17" t="s">
        <v>25</v>
      </c>
      <c r="G247" s="17" t="str">
        <f>'Demographic Descriptions'!M9</f>
        <v>Position 7</v>
      </c>
      <c r="H247" s="17">
        <f ca="1">COUNTIFS('Tracking Sheet'!$AM$5:$AM$504,Calculations!G247,'Tracking Sheet'!$AI$5:$AI$504,"Quarter 3",'Tracking Sheet'!$AX$5:$AX$504,Calculations!$K$1)</f>
        <v>0</v>
      </c>
      <c r="L247" s="17" t="s">
        <v>25</v>
      </c>
      <c r="M247" s="17" t="str">
        <f>'Demographic Descriptions'!M9</f>
        <v>Position 7</v>
      </c>
      <c r="N247" s="17">
        <f ca="1">COUNTIFS('Tracking Sheet'!$AM$5:$AM$504,Calculations!M247,'Tracking Sheet'!$AV$5:$AV$504,"Quarter 3",'Tracking Sheet'!$AY$5:$AY$504,Calculations!$K$1)</f>
        <v>0</v>
      </c>
    </row>
    <row r="248" spans="1:14" ht="15.75" customHeight="1">
      <c r="A248" s="17" t="str">
        <f>'Demographic Descriptions'!D220</f>
        <v>Wallisian</v>
      </c>
      <c r="B248" s="17">
        <f>COUNTIFS('Tracking Sheet'!$H$5:$H$504,Calculations!A248,'Tracking Sheet'!$AL$5:$AL$504,"active")</f>
        <v>0</v>
      </c>
      <c r="C248" s="29"/>
      <c r="F248" s="17" t="s">
        <v>25</v>
      </c>
      <c r="G248" s="17" t="str">
        <f>'Demographic Descriptions'!M10</f>
        <v>Position 8</v>
      </c>
      <c r="H248" s="17">
        <f ca="1">COUNTIFS('Tracking Sheet'!$AM$5:$AM$504,Calculations!G248,'Tracking Sheet'!$AI$5:$AI$504,"Quarter 3",'Tracking Sheet'!$AX$5:$AX$504,Calculations!$K$1)</f>
        <v>0</v>
      </c>
      <c r="L248" s="17" t="s">
        <v>25</v>
      </c>
      <c r="M248" s="17" t="str">
        <f>'Demographic Descriptions'!M10</f>
        <v>Position 8</v>
      </c>
      <c r="N248" s="17">
        <f ca="1">COUNTIFS('Tracking Sheet'!$AM$5:$AM$504,Calculations!M248,'Tracking Sheet'!$AV$5:$AV$504,"Quarter 3",'Tracking Sheet'!$AY$5:$AY$504,Calculations!$K$1)</f>
        <v>0</v>
      </c>
    </row>
    <row r="249" spans="1:14" ht="15.75" customHeight="1">
      <c r="A249" s="17" t="str">
        <f>'Demographic Descriptions'!D221</f>
        <v>Welsh</v>
      </c>
      <c r="B249" s="17">
        <f>COUNTIFS('Tracking Sheet'!$H$5:$H$504,Calculations!A249,'Tracking Sheet'!$AL$5:$AL$504,"active")</f>
        <v>0</v>
      </c>
      <c r="C249" s="29"/>
      <c r="F249" s="17" t="s">
        <v>25</v>
      </c>
      <c r="G249" s="17" t="str">
        <f>'Demographic Descriptions'!M11</f>
        <v>Position 9</v>
      </c>
      <c r="H249" s="17">
        <f ca="1">COUNTIFS('Tracking Sheet'!$AM$5:$AM$504,Calculations!G249,'Tracking Sheet'!$AI$5:$AI$504,"Quarter 3",'Tracking Sheet'!$AX$5:$AX$504,Calculations!$K$1)</f>
        <v>0</v>
      </c>
      <c r="L249" s="17" t="s">
        <v>25</v>
      </c>
      <c r="M249" s="17" t="str">
        <f>'Demographic Descriptions'!M11</f>
        <v>Position 9</v>
      </c>
      <c r="N249" s="17">
        <f ca="1">COUNTIFS('Tracking Sheet'!$AM$5:$AM$504,Calculations!M249,'Tracking Sheet'!$AV$5:$AV$504,"Quarter 3",'Tracking Sheet'!$AY$5:$AY$504,Calculations!$K$1)</f>
        <v>0</v>
      </c>
    </row>
    <row r="250" spans="1:14" ht="15.75" customHeight="1">
      <c r="A250" s="17" t="str">
        <f>'Demographic Descriptions'!D222</f>
        <v>Yemeni</v>
      </c>
      <c r="B250" s="17">
        <f>COUNTIFS('Tracking Sheet'!$H$5:$H$504,Calculations!A250,'Tracking Sheet'!$AL$5:$AL$504,"active")</f>
        <v>0</v>
      </c>
      <c r="C250" s="29"/>
      <c r="F250" s="17" t="s">
        <v>25</v>
      </c>
      <c r="G250" s="17" t="str">
        <f>'Demographic Descriptions'!M12</f>
        <v>Position 10</v>
      </c>
      <c r="H250" s="17">
        <f ca="1">COUNTIFS('Tracking Sheet'!$AM$5:$AM$504,Calculations!G250,'Tracking Sheet'!$AI$5:$AI$504,"Quarter 3",'Tracking Sheet'!$AX$5:$AX$504,Calculations!$K$1)</f>
        <v>0</v>
      </c>
      <c r="L250" s="17" t="s">
        <v>25</v>
      </c>
      <c r="M250" s="17" t="str">
        <f>'Demographic Descriptions'!M12</f>
        <v>Position 10</v>
      </c>
      <c r="N250" s="17">
        <f ca="1">COUNTIFS('Tracking Sheet'!$AM$5:$AM$504,Calculations!M250,'Tracking Sheet'!$AV$5:$AV$504,"Quarter 3",'Tracking Sheet'!$AY$5:$AY$504,Calculations!$K$1)</f>
        <v>0</v>
      </c>
    </row>
    <row r="251" spans="1:14" ht="15.75" customHeight="1">
      <c r="A251" s="17" t="str">
        <f>'Demographic Descriptions'!D223</f>
        <v>Zambian</v>
      </c>
      <c r="B251" s="17">
        <f>COUNTIFS('Tracking Sheet'!$H$5:$H$504,Calculations!A251,'Tracking Sheet'!$AL$5:$AL$504,"active")</f>
        <v>0</v>
      </c>
      <c r="C251" s="29"/>
      <c r="F251" s="17" t="s">
        <v>25</v>
      </c>
      <c r="G251" s="17" t="str">
        <f>'Demographic Descriptions'!M13</f>
        <v>Position 11</v>
      </c>
      <c r="H251" s="17">
        <f ca="1">COUNTIFS('Tracking Sheet'!$AM$5:$AM$504,Calculations!G251,'Tracking Sheet'!$AI$5:$AI$504,"Quarter 3",'Tracking Sheet'!$AX$5:$AX$504,Calculations!$K$1)</f>
        <v>0</v>
      </c>
      <c r="L251" s="17" t="s">
        <v>25</v>
      </c>
      <c r="M251" s="17" t="str">
        <f>'Demographic Descriptions'!M13</f>
        <v>Position 11</v>
      </c>
      <c r="N251" s="17">
        <f ca="1">COUNTIFS('Tracking Sheet'!$AM$5:$AM$504,Calculations!M251,'Tracking Sheet'!$AV$5:$AV$504,"Quarter 3",'Tracking Sheet'!$AY$5:$AY$504,Calculations!$K$1)</f>
        <v>0</v>
      </c>
    </row>
    <row r="252" spans="1:14" ht="15.75" customHeight="1">
      <c r="A252" s="17" t="str">
        <f>'Demographic Descriptions'!D224</f>
        <v>Zimbabwean</v>
      </c>
      <c r="B252" s="17">
        <f>COUNTIFS('Tracking Sheet'!$H$5:$H$504,Calculations!A252,'Tracking Sheet'!$AL$5:$AL$504,"active")</f>
        <v>0</v>
      </c>
      <c r="C252" s="29"/>
      <c r="F252" s="17" t="s">
        <v>25</v>
      </c>
      <c r="G252" s="17" t="str">
        <f>'Demographic Descriptions'!M14</f>
        <v>Position 12</v>
      </c>
      <c r="H252" s="17">
        <f ca="1">COUNTIFS('Tracking Sheet'!$AM$5:$AM$504,Calculations!G252,'Tracking Sheet'!$AI$5:$AI$504,"Quarter 3",'Tracking Sheet'!$AX$5:$AX$504,Calculations!$K$1)</f>
        <v>0</v>
      </c>
      <c r="L252" s="17" t="s">
        <v>25</v>
      </c>
      <c r="M252" s="17" t="str">
        <f>'Demographic Descriptions'!M14</f>
        <v>Position 12</v>
      </c>
      <c r="N252" s="17">
        <f ca="1">COUNTIFS('Tracking Sheet'!$AM$5:$AM$504,Calculations!M252,'Tracking Sheet'!$AV$5:$AV$504,"Quarter 3",'Tracking Sheet'!$AY$5:$AY$504,Calculations!$K$1)</f>
        <v>0</v>
      </c>
    </row>
    <row r="253" spans="1:14" ht="15.75" customHeight="1">
      <c r="F253" s="17" t="s">
        <v>25</v>
      </c>
      <c r="G253" s="17" t="str">
        <f>'Demographic Descriptions'!M15</f>
        <v>Position 13</v>
      </c>
      <c r="H253" s="17">
        <f ca="1">COUNTIFS('Tracking Sheet'!$AM$5:$AM$504,Calculations!G253,'Tracking Sheet'!$AI$5:$AI$504,"Quarter 3",'Tracking Sheet'!$AX$5:$AX$504,Calculations!$K$1)</f>
        <v>0</v>
      </c>
      <c r="L253" s="17" t="s">
        <v>25</v>
      </c>
      <c r="M253" s="17" t="str">
        <f>'Demographic Descriptions'!M15</f>
        <v>Position 13</v>
      </c>
      <c r="N253" s="17">
        <f ca="1">COUNTIFS('Tracking Sheet'!$AM$5:$AM$504,Calculations!M253,'Tracking Sheet'!$AV$5:$AV$504,"Quarter 3",'Tracking Sheet'!$AY$5:$AY$504,Calculations!$K$1)</f>
        <v>0</v>
      </c>
    </row>
    <row r="254" spans="1:14" ht="15.75" customHeight="1">
      <c r="A254" s="16" t="s">
        <v>270</v>
      </c>
      <c r="F254" s="17" t="s">
        <v>25</v>
      </c>
      <c r="G254" s="17" t="str">
        <f>'Demographic Descriptions'!M16</f>
        <v>Position 14</v>
      </c>
      <c r="H254" s="17">
        <f ca="1">COUNTIFS('Tracking Sheet'!$AM$5:$AM$504,Calculations!G254,'Tracking Sheet'!$AI$5:$AI$504,"Quarter 3",'Tracking Sheet'!$AX$5:$AX$504,Calculations!$K$1)</f>
        <v>0</v>
      </c>
      <c r="L254" s="17" t="s">
        <v>25</v>
      </c>
      <c r="M254" s="17" t="str">
        <f>'Demographic Descriptions'!M16</f>
        <v>Position 14</v>
      </c>
      <c r="N254" s="17">
        <f ca="1">COUNTIFS('Tracking Sheet'!$AM$5:$AM$504,Calculations!M254,'Tracking Sheet'!$AV$5:$AV$504,"Quarter 3",'Tracking Sheet'!$AY$5:$AY$504,Calculations!$K$1)</f>
        <v>0</v>
      </c>
    </row>
    <row r="255" spans="1:14" ht="15.75" customHeight="1">
      <c r="A255" s="17" t="s">
        <v>276</v>
      </c>
      <c r="B255" s="17">
        <f>COUNTIFS('Tracking Sheet'!$D$5:$D$504,A255,'Tracking Sheet'!$AL$5:$AL$504,"active")</f>
        <v>0</v>
      </c>
      <c r="C255" s="29"/>
      <c r="F255" s="17" t="s">
        <v>25</v>
      </c>
      <c r="G255" s="17" t="str">
        <f>'Demographic Descriptions'!M17</f>
        <v>Position 15</v>
      </c>
      <c r="H255" s="17">
        <f ca="1">COUNTIFS('Tracking Sheet'!$AM$5:$AM$504,Calculations!G255,'Tracking Sheet'!$AI$5:$AI$504,"Quarter 3",'Tracking Sheet'!$AX$5:$AX$504,Calculations!$K$1)</f>
        <v>0</v>
      </c>
      <c r="L255" s="17" t="s">
        <v>25</v>
      </c>
      <c r="M255" s="17" t="str">
        <f>'Demographic Descriptions'!M17</f>
        <v>Position 15</v>
      </c>
      <c r="N255" s="17">
        <f ca="1">COUNTIFS('Tracking Sheet'!$AM$5:$AM$504,Calculations!M255,'Tracking Sheet'!$AV$5:$AV$504,"Quarter 3",'Tracking Sheet'!$AY$5:$AY$504,Calculations!$K$1)</f>
        <v>0</v>
      </c>
    </row>
    <row r="256" spans="1:14" ht="15.75" customHeight="1">
      <c r="A256" s="17" t="s">
        <v>280</v>
      </c>
      <c r="B256" s="17">
        <f>COUNTIFS('Tracking Sheet'!$D$5:$D$504,A256,'Tracking Sheet'!$AL$5:$AL$504,"active")</f>
        <v>0</v>
      </c>
      <c r="C256" s="29"/>
      <c r="F256" s="17" t="s">
        <v>25</v>
      </c>
      <c r="G256" s="17" t="str">
        <f>'Demographic Descriptions'!M18</f>
        <v>Position 16</v>
      </c>
      <c r="H256" s="17">
        <f ca="1">COUNTIFS('Tracking Sheet'!$AM$5:$AM$504,Calculations!G256,'Tracking Sheet'!$AI$5:$AI$504,"Quarter 3",'Tracking Sheet'!$AX$5:$AX$504,Calculations!$K$1)</f>
        <v>0</v>
      </c>
      <c r="L256" s="17" t="s">
        <v>25</v>
      </c>
      <c r="M256" s="17" t="str">
        <f>'Demographic Descriptions'!M18</f>
        <v>Position 16</v>
      </c>
      <c r="N256" s="17">
        <f ca="1">COUNTIFS('Tracking Sheet'!$AM$5:$AM$504,Calculations!M256,'Tracking Sheet'!$AV$5:$AV$504,"Quarter 3",'Tracking Sheet'!$AY$5:$AY$504,Calculations!$K$1)</f>
        <v>0</v>
      </c>
    </row>
    <row r="257" spans="1:14" ht="15.75" customHeight="1">
      <c r="A257" s="17" t="s">
        <v>285</v>
      </c>
      <c r="B257" s="17">
        <f>COUNTIFS('Tracking Sheet'!$D$5:$D$504,A257,'Tracking Sheet'!$AL$5:$AL$504,"active")</f>
        <v>0</v>
      </c>
      <c r="C257" s="29"/>
      <c r="F257" s="17" t="s">
        <v>25</v>
      </c>
      <c r="G257" s="17" t="str">
        <f>'Demographic Descriptions'!M19</f>
        <v>Position 17</v>
      </c>
      <c r="H257" s="17">
        <f ca="1">COUNTIFS('Tracking Sheet'!$AM$5:$AM$504,Calculations!G257,'Tracking Sheet'!$AI$5:$AI$504,"Quarter 3",'Tracking Sheet'!$AX$5:$AX$504,Calculations!$K$1)</f>
        <v>0</v>
      </c>
      <c r="L257" s="17" t="s">
        <v>25</v>
      </c>
      <c r="M257" s="17" t="str">
        <f>'Demographic Descriptions'!M19</f>
        <v>Position 17</v>
      </c>
      <c r="N257" s="17">
        <f ca="1">COUNTIFS('Tracking Sheet'!$AM$5:$AM$504,Calculations!M257,'Tracking Sheet'!$AV$5:$AV$504,"Quarter 3",'Tracking Sheet'!$AY$5:$AY$504,Calculations!$K$1)</f>
        <v>0</v>
      </c>
    </row>
    <row r="258" spans="1:14" ht="15.75" customHeight="1">
      <c r="A258" s="17" t="s">
        <v>290</v>
      </c>
      <c r="B258" s="17">
        <f>COUNTIFS('Tracking Sheet'!$D$5:$D$504,A258,'Tracking Sheet'!$AL$5:$AL$504,"active")</f>
        <v>0</v>
      </c>
      <c r="C258" s="29"/>
      <c r="F258" s="17" t="s">
        <v>25</v>
      </c>
      <c r="G258" s="17" t="str">
        <f>'Demographic Descriptions'!M20</f>
        <v>Position 18</v>
      </c>
      <c r="H258" s="17">
        <f ca="1">COUNTIFS('Tracking Sheet'!$AM$5:$AM$504,Calculations!G258,'Tracking Sheet'!$AI$5:$AI$504,"Quarter 3",'Tracking Sheet'!$AX$5:$AX$504,Calculations!$K$1)</f>
        <v>0</v>
      </c>
      <c r="L258" s="17" t="s">
        <v>25</v>
      </c>
      <c r="M258" s="17" t="str">
        <f>'Demographic Descriptions'!M20</f>
        <v>Position 18</v>
      </c>
      <c r="N258" s="17">
        <f ca="1">COUNTIFS('Tracking Sheet'!$AM$5:$AM$504,Calculations!M258,'Tracking Sheet'!$AV$5:$AV$504,"Quarter 3",'Tracking Sheet'!$AY$5:$AY$504,Calculations!$K$1)</f>
        <v>0</v>
      </c>
    </row>
    <row r="259" spans="1:14" ht="15.75" customHeight="1">
      <c r="A259" s="17" t="s">
        <v>296</v>
      </c>
      <c r="B259" s="17">
        <f>COUNTIFS('Tracking Sheet'!$D$5:$D$504,A259,'Tracking Sheet'!$AL$5:$AL$504,"active")</f>
        <v>0</v>
      </c>
      <c r="C259" s="29"/>
      <c r="F259" s="17" t="s">
        <v>25</v>
      </c>
      <c r="G259" s="17" t="str">
        <f>'Demographic Descriptions'!M21</f>
        <v>Position 19</v>
      </c>
      <c r="H259" s="17">
        <f ca="1">COUNTIFS('Tracking Sheet'!$AM$5:$AM$504,Calculations!G259,'Tracking Sheet'!$AI$5:$AI$504,"Quarter 3",'Tracking Sheet'!$AX$5:$AX$504,Calculations!$K$1)</f>
        <v>0</v>
      </c>
      <c r="L259" s="17" t="s">
        <v>25</v>
      </c>
      <c r="M259" s="17" t="str">
        <f>'Demographic Descriptions'!M21</f>
        <v>Position 19</v>
      </c>
      <c r="N259" s="17">
        <f ca="1">COUNTIFS('Tracking Sheet'!$AM$5:$AM$504,Calculations!M259,'Tracking Sheet'!$AV$5:$AV$504,"Quarter 3",'Tracking Sheet'!$AY$5:$AY$504,Calculations!$K$1)</f>
        <v>0</v>
      </c>
    </row>
    <row r="260" spans="1:14" ht="15.75" customHeight="1">
      <c r="A260" s="17" t="s">
        <v>304</v>
      </c>
      <c r="B260" s="17">
        <f>COUNTIFS('Tracking Sheet'!$D$5:$D$504,A260,'Tracking Sheet'!$AL$5:$AL$504,"active")</f>
        <v>0</v>
      </c>
      <c r="C260" s="29"/>
      <c r="F260" s="17" t="s">
        <v>25</v>
      </c>
      <c r="G260" s="17" t="str">
        <f>'Demographic Descriptions'!M22</f>
        <v>Position 20</v>
      </c>
      <c r="H260" s="17">
        <f ca="1">COUNTIFS('Tracking Sheet'!$AM$5:$AM$504,Calculations!G260,'Tracking Sheet'!$AI$5:$AI$504,"Quarter 3",'Tracking Sheet'!$AX$5:$AX$504,Calculations!$K$1)</f>
        <v>0</v>
      </c>
      <c r="L260" s="17" t="s">
        <v>25</v>
      </c>
      <c r="M260" s="17" t="str">
        <f>'Demographic Descriptions'!M22</f>
        <v>Position 20</v>
      </c>
      <c r="N260" s="17">
        <f ca="1">COUNTIFS('Tracking Sheet'!$AM$5:$AM$504,Calculations!M260,'Tracking Sheet'!$AV$5:$AV$504,"Quarter 3",'Tracking Sheet'!$AY$5:$AY$504,Calculations!$K$1)</f>
        <v>0</v>
      </c>
    </row>
    <row r="261" spans="1:14" ht="15.75" customHeight="1">
      <c r="A261" s="17" t="s">
        <v>315</v>
      </c>
      <c r="B261" s="17">
        <f>COUNTIFS('Tracking Sheet'!$D$5:$D$504,A261,'Tracking Sheet'!$AL$5:$AL$504,"active")</f>
        <v>0</v>
      </c>
      <c r="C261" s="29"/>
      <c r="F261" s="17" t="s">
        <v>25</v>
      </c>
      <c r="G261" s="17" t="str">
        <f>'Demographic Descriptions'!M23</f>
        <v>Position 21</v>
      </c>
      <c r="H261" s="17">
        <f ca="1">COUNTIFS('Tracking Sheet'!$AM$5:$AM$504,Calculations!G261,'Tracking Sheet'!$AI$5:$AI$504,"Quarter 3",'Tracking Sheet'!$AX$5:$AX$504,Calculations!$K$1)</f>
        <v>0</v>
      </c>
      <c r="L261" s="17" t="s">
        <v>25</v>
      </c>
      <c r="M261" s="17" t="str">
        <f>'Demographic Descriptions'!M23</f>
        <v>Position 21</v>
      </c>
      <c r="N261" s="17">
        <f ca="1">COUNTIFS('Tracking Sheet'!$AM$5:$AM$504,Calculations!M261,'Tracking Sheet'!$AV$5:$AV$504,"Quarter 3",'Tracking Sheet'!$AY$5:$AY$504,Calculations!$K$1)</f>
        <v>0</v>
      </c>
    </row>
    <row r="262" spans="1:14" ht="15.75" customHeight="1">
      <c r="A262" s="17" t="s">
        <v>322</v>
      </c>
      <c r="B262" s="17">
        <f>COUNTIFS('Tracking Sheet'!$D$5:$D$504,A262,'Tracking Sheet'!$AL$5:$AL$504,"active")</f>
        <v>0</v>
      </c>
      <c r="C262" s="29"/>
      <c r="F262" s="17" t="s">
        <v>25</v>
      </c>
      <c r="G262" s="17" t="str">
        <f>'Demographic Descriptions'!M24</f>
        <v>Position 22</v>
      </c>
      <c r="H262" s="17">
        <f ca="1">COUNTIFS('Tracking Sheet'!$AM$5:$AM$504,Calculations!G262,'Tracking Sheet'!$AI$5:$AI$504,"Quarter 3",'Tracking Sheet'!$AX$5:$AX$504,Calculations!$K$1)</f>
        <v>0</v>
      </c>
      <c r="L262" s="17" t="s">
        <v>25</v>
      </c>
      <c r="M262" s="17" t="str">
        <f>'Demographic Descriptions'!M24</f>
        <v>Position 22</v>
      </c>
      <c r="N262" s="17">
        <f ca="1">COUNTIFS('Tracking Sheet'!$AM$5:$AM$504,Calculations!M262,'Tracking Sheet'!$AV$5:$AV$504,"Quarter 3",'Tracking Sheet'!$AY$5:$AY$504,Calculations!$K$1)</f>
        <v>0</v>
      </c>
    </row>
    <row r="263" spans="1:14" ht="15.75" customHeight="1">
      <c r="A263" s="17" t="s">
        <v>328</v>
      </c>
      <c r="B263" s="17">
        <f>COUNTIFS('Tracking Sheet'!$D$5:$D$504,A263,'Tracking Sheet'!$AL$5:$AL$504,"active")</f>
        <v>0</v>
      </c>
      <c r="C263" s="29"/>
      <c r="F263" s="17" t="s">
        <v>25</v>
      </c>
      <c r="G263" s="17" t="str">
        <f>'Demographic Descriptions'!M25</f>
        <v>Position 23</v>
      </c>
      <c r="H263" s="17">
        <f ca="1">COUNTIFS('Tracking Sheet'!$AM$5:$AM$504,Calculations!G263,'Tracking Sheet'!$AI$5:$AI$504,"Quarter 3",'Tracking Sheet'!$AX$5:$AX$504,Calculations!$K$1)</f>
        <v>0</v>
      </c>
      <c r="L263" s="17" t="s">
        <v>25</v>
      </c>
      <c r="M263" s="17" t="str">
        <f>'Demographic Descriptions'!M25</f>
        <v>Position 23</v>
      </c>
      <c r="N263" s="17">
        <f ca="1">COUNTIFS('Tracking Sheet'!$AM$5:$AM$504,Calculations!M263,'Tracking Sheet'!$AV$5:$AV$504,"Quarter 3",'Tracking Sheet'!$AY$5:$AY$504,Calculations!$K$1)</f>
        <v>0</v>
      </c>
    </row>
    <row r="264" spans="1:14" ht="15.75" customHeight="1">
      <c r="A264" s="17" t="s">
        <v>335</v>
      </c>
      <c r="B264" s="17">
        <f>COUNTIFS('Tracking Sheet'!$D$5:$D$504,A264,'Tracking Sheet'!$AL$5:$AL$504,"active")</f>
        <v>0</v>
      </c>
      <c r="C264" s="29"/>
      <c r="F264" s="17" t="s">
        <v>25</v>
      </c>
      <c r="G264" s="17" t="str">
        <f>'Demographic Descriptions'!M26</f>
        <v>Position 24</v>
      </c>
      <c r="H264" s="17">
        <f ca="1">COUNTIFS('Tracking Sheet'!$AM$5:$AM$504,Calculations!G264,'Tracking Sheet'!$AI$5:$AI$504,"Quarter 3",'Tracking Sheet'!$AX$5:$AX$504,Calculations!$K$1)</f>
        <v>0</v>
      </c>
      <c r="L264" s="17" t="s">
        <v>25</v>
      </c>
      <c r="M264" s="17" t="str">
        <f>'Demographic Descriptions'!M26</f>
        <v>Position 24</v>
      </c>
      <c r="N264" s="17">
        <f ca="1">COUNTIFS('Tracking Sheet'!$AM$5:$AM$504,Calculations!M264,'Tracking Sheet'!$AV$5:$AV$504,"Quarter 3",'Tracking Sheet'!$AY$5:$AY$504,Calculations!$K$1)</f>
        <v>0</v>
      </c>
    </row>
    <row r="265" spans="1:14" ht="15.75" customHeight="1">
      <c r="A265" s="17" t="s">
        <v>343</v>
      </c>
      <c r="B265" s="17">
        <f>COUNTIFS('Tracking Sheet'!$D$5:$D$504,A265,'Tracking Sheet'!$AL$5:$AL$504,"active")</f>
        <v>0</v>
      </c>
      <c r="C265" s="29"/>
      <c r="F265" s="17" t="s">
        <v>25</v>
      </c>
      <c r="G265" s="17" t="str">
        <f>'Demographic Descriptions'!M27</f>
        <v>Position 25</v>
      </c>
      <c r="H265" s="17">
        <f ca="1">COUNTIFS('Tracking Sheet'!$AM$5:$AM$504,Calculations!G265,'Tracking Sheet'!$AI$5:$AI$504,"Quarter 3",'Tracking Sheet'!$AX$5:$AX$504,Calculations!$K$1)</f>
        <v>0</v>
      </c>
      <c r="L265" s="17" t="s">
        <v>25</v>
      </c>
      <c r="M265" s="17" t="str">
        <f>'Demographic Descriptions'!M27</f>
        <v>Position 25</v>
      </c>
      <c r="N265" s="17">
        <f ca="1">COUNTIFS('Tracking Sheet'!$AM$5:$AM$504,Calculations!M265,'Tracking Sheet'!$AV$5:$AV$504,"Quarter 3",'Tracking Sheet'!$AY$5:$AY$504,Calculations!$K$1)</f>
        <v>0</v>
      </c>
    </row>
    <row r="266" spans="1:14" ht="15.75" customHeight="1">
      <c r="A266" s="17" t="s">
        <v>350</v>
      </c>
      <c r="B266" s="17">
        <f>COUNTIFS('Tracking Sheet'!$D$5:$D$504,A266,'Tracking Sheet'!$AL$5:$AL$504,"active")</f>
        <v>0</v>
      </c>
      <c r="C266" s="29"/>
      <c r="F266" s="17" t="s">
        <v>25</v>
      </c>
      <c r="G266" s="17" t="str">
        <f>'Demographic Descriptions'!M28</f>
        <v>Position 26</v>
      </c>
      <c r="H266" s="17">
        <f ca="1">COUNTIFS('Tracking Sheet'!$AM$5:$AM$504,Calculations!G266,'Tracking Sheet'!$AI$5:$AI$504,"Quarter 3",'Tracking Sheet'!$AX$5:$AX$504,Calculations!$K$1)</f>
        <v>0</v>
      </c>
      <c r="L266" s="17" t="s">
        <v>25</v>
      </c>
      <c r="M266" s="17" t="str">
        <f>'Demographic Descriptions'!M28</f>
        <v>Position 26</v>
      </c>
      <c r="N266" s="17">
        <f ca="1">COUNTIFS('Tracking Sheet'!$AM$5:$AM$504,Calculations!M266,'Tracking Sheet'!$AV$5:$AV$504,"Quarter 3",'Tracking Sheet'!$AY$5:$AY$504,Calculations!$K$1)</f>
        <v>0</v>
      </c>
    </row>
    <row r="267" spans="1:14" ht="15.75" customHeight="1">
      <c r="A267" s="17" t="s">
        <v>357</v>
      </c>
      <c r="B267" s="17">
        <f>COUNTIFS('Tracking Sheet'!$D$5:$D$504,A267,'Tracking Sheet'!$AL$5:$AL$504,"active")</f>
        <v>0</v>
      </c>
      <c r="C267" s="29"/>
      <c r="F267" s="17" t="s">
        <v>25</v>
      </c>
      <c r="G267" s="17" t="str">
        <f>'Demographic Descriptions'!M29</f>
        <v>Position 27</v>
      </c>
      <c r="H267" s="17">
        <f ca="1">COUNTIFS('Tracking Sheet'!$AM$5:$AM$504,Calculations!G267,'Tracking Sheet'!$AI$5:$AI$504,"Quarter 3",'Tracking Sheet'!$AX$5:$AX$504,Calculations!$K$1)</f>
        <v>0</v>
      </c>
      <c r="L267" s="17" t="s">
        <v>25</v>
      </c>
      <c r="M267" s="17" t="str">
        <f>'Demographic Descriptions'!M29</f>
        <v>Position 27</v>
      </c>
      <c r="N267" s="17">
        <f ca="1">COUNTIFS('Tracking Sheet'!$AM$5:$AM$504,Calculations!M267,'Tracking Sheet'!$AV$5:$AV$504,"Quarter 3",'Tracking Sheet'!$AY$5:$AY$504,Calculations!$K$1)</f>
        <v>0</v>
      </c>
    </row>
    <row r="268" spans="1:14" ht="15.75" customHeight="1">
      <c r="A268" s="17" t="s">
        <v>364</v>
      </c>
      <c r="B268" s="17">
        <f>COUNTIFS('Tracking Sheet'!$D$5:$D$504,A268,'Tracking Sheet'!$AL$5:$AL$504,"active")</f>
        <v>0</v>
      </c>
      <c r="C268" s="29"/>
      <c r="F268" s="17" t="s">
        <v>25</v>
      </c>
      <c r="G268" s="17" t="str">
        <f>'Demographic Descriptions'!M30</f>
        <v>Position 28</v>
      </c>
      <c r="H268" s="17">
        <f ca="1">COUNTIFS('Tracking Sheet'!$AM$5:$AM$504,Calculations!G268,'Tracking Sheet'!$AI$5:$AI$504,"Quarter 3",'Tracking Sheet'!$AX$5:$AX$504,Calculations!$K$1)</f>
        <v>0</v>
      </c>
      <c r="L268" s="17" t="s">
        <v>25</v>
      </c>
      <c r="M268" s="17" t="str">
        <f>'Demographic Descriptions'!M30</f>
        <v>Position 28</v>
      </c>
      <c r="N268" s="17">
        <f ca="1">COUNTIFS('Tracking Sheet'!$AM$5:$AM$504,Calculations!M268,'Tracking Sheet'!$AV$5:$AV$504,"Quarter 3",'Tracking Sheet'!$AY$5:$AY$504,Calculations!$K$1)</f>
        <v>0</v>
      </c>
    </row>
    <row r="269" spans="1:14" ht="15.75" customHeight="1">
      <c r="A269" s="17" t="s">
        <v>370</v>
      </c>
      <c r="B269" s="17">
        <f>COUNTIFS('Tracking Sheet'!$D$5:$D$504,A269,'Tracking Sheet'!$AL$5:$AL$504,"active")</f>
        <v>0</v>
      </c>
      <c r="C269" s="29"/>
      <c r="F269" s="17" t="s">
        <v>25</v>
      </c>
      <c r="G269" s="17" t="str">
        <f>'Demographic Descriptions'!M31</f>
        <v>Position 29</v>
      </c>
      <c r="H269" s="17">
        <f ca="1">COUNTIFS('Tracking Sheet'!$AM$5:$AM$504,Calculations!G269,'Tracking Sheet'!$AI$5:$AI$504,"Quarter 3",'Tracking Sheet'!$AX$5:$AX$504,Calculations!$K$1)</f>
        <v>0</v>
      </c>
      <c r="L269" s="17" t="s">
        <v>25</v>
      </c>
      <c r="M269" s="17" t="str">
        <f>'Demographic Descriptions'!M31</f>
        <v>Position 29</v>
      </c>
      <c r="N269" s="17">
        <f ca="1">COUNTIFS('Tracking Sheet'!$AM$5:$AM$504,Calculations!M269,'Tracking Sheet'!$AV$5:$AV$504,"Quarter 3",'Tracking Sheet'!$AY$5:$AY$504,Calculations!$K$1)</f>
        <v>0</v>
      </c>
    </row>
    <row r="270" spans="1:14" ht="15.75" customHeight="1">
      <c r="A270" s="17" t="s">
        <v>376</v>
      </c>
      <c r="B270" s="17">
        <f>COUNTIFS('Tracking Sheet'!$D$5:$D$504,A270,'Tracking Sheet'!$AL$5:$AL$504,"active")</f>
        <v>0</v>
      </c>
      <c r="C270" s="29"/>
      <c r="F270" s="17" t="s">
        <v>25</v>
      </c>
      <c r="G270" s="17" t="str">
        <f>'Demographic Descriptions'!M32</f>
        <v>Position 30</v>
      </c>
      <c r="H270" s="17">
        <f ca="1">COUNTIFS('Tracking Sheet'!$AM$5:$AM$504,Calculations!G270,'Tracking Sheet'!$AI$5:$AI$504,"Quarter 3",'Tracking Sheet'!$AX$5:$AX$504,Calculations!$K$1)</f>
        <v>0</v>
      </c>
      <c r="L270" s="17" t="s">
        <v>25</v>
      </c>
      <c r="M270" s="17" t="str">
        <f>'Demographic Descriptions'!M32</f>
        <v>Position 30</v>
      </c>
      <c r="N270" s="17">
        <f ca="1">COUNTIFS('Tracking Sheet'!$AM$5:$AM$504,Calculations!M270,'Tracking Sheet'!$AV$5:$AV$504,"Quarter 3",'Tracking Sheet'!$AY$5:$AY$504,Calculations!$K$1)</f>
        <v>0</v>
      </c>
    </row>
    <row r="271" spans="1:14" ht="15.75" customHeight="1">
      <c r="A271" s="17" t="s">
        <v>380</v>
      </c>
      <c r="B271" s="17">
        <f>COUNTIFS('Tracking Sheet'!$D$5:$D$504,A271,'Tracking Sheet'!$AL$5:$AL$504,"active")</f>
        <v>0</v>
      </c>
      <c r="C271" s="29"/>
      <c r="F271" s="17" t="s">
        <v>25</v>
      </c>
      <c r="G271" s="17" t="str">
        <f>'Demographic Descriptions'!M33</f>
        <v>Position 31</v>
      </c>
      <c r="H271" s="17">
        <f ca="1">COUNTIFS('Tracking Sheet'!$AM$5:$AM$504,Calculations!G271,'Tracking Sheet'!$AI$5:$AI$504,"Quarter 3",'Tracking Sheet'!$AX$5:$AX$504,Calculations!$K$1)</f>
        <v>0</v>
      </c>
      <c r="L271" s="17" t="s">
        <v>25</v>
      </c>
      <c r="M271" s="17" t="str">
        <f>'Demographic Descriptions'!M33</f>
        <v>Position 31</v>
      </c>
      <c r="N271" s="17">
        <f ca="1">COUNTIFS('Tracking Sheet'!$AM$5:$AM$504,Calculations!M271,'Tracking Sheet'!$AV$5:$AV$504,"Quarter 3",'Tracking Sheet'!$AY$5:$AY$504,Calculations!$K$1)</f>
        <v>0</v>
      </c>
    </row>
    <row r="272" spans="1:14" ht="15.75" customHeight="1">
      <c r="A272" s="17" t="s">
        <v>384</v>
      </c>
      <c r="B272" s="17">
        <f>COUNTIFS('Tracking Sheet'!$D$5:$D$504,A272,'Tracking Sheet'!$AL$5:$AL$504,"active")</f>
        <v>0</v>
      </c>
      <c r="C272" s="29"/>
      <c r="F272" s="17" t="s">
        <v>25</v>
      </c>
      <c r="G272" s="17" t="str">
        <f>'Demographic Descriptions'!M34</f>
        <v>Position 32</v>
      </c>
      <c r="H272" s="17">
        <f ca="1">COUNTIFS('Tracking Sheet'!$AM$5:$AM$504,Calculations!G272,'Tracking Sheet'!$AI$5:$AI$504,"Quarter 3",'Tracking Sheet'!$AX$5:$AX$504,Calculations!$K$1)</f>
        <v>0</v>
      </c>
      <c r="L272" s="17" t="s">
        <v>25</v>
      </c>
      <c r="M272" s="17" t="str">
        <f>'Demographic Descriptions'!M34</f>
        <v>Position 32</v>
      </c>
      <c r="N272" s="17">
        <f ca="1">COUNTIFS('Tracking Sheet'!$AM$5:$AM$504,Calculations!M272,'Tracking Sheet'!$AV$5:$AV$504,"Quarter 3",'Tracking Sheet'!$AY$5:$AY$504,Calculations!$K$1)</f>
        <v>0</v>
      </c>
    </row>
    <row r="273" spans="1:14" ht="15.75" customHeight="1">
      <c r="A273" s="17" t="s">
        <v>388</v>
      </c>
      <c r="B273" s="17">
        <f>COUNTIFS('Tracking Sheet'!$D$5:$D$504,A273,'Tracking Sheet'!$AL$5:$AL$504,"active")</f>
        <v>0</v>
      </c>
      <c r="C273" s="29"/>
      <c r="F273" s="17" t="s">
        <v>25</v>
      </c>
      <c r="G273" s="17" t="str">
        <f>'Demographic Descriptions'!M35</f>
        <v>Position 33</v>
      </c>
      <c r="H273" s="17">
        <f ca="1">COUNTIFS('Tracking Sheet'!$AM$5:$AM$504,Calculations!G273,'Tracking Sheet'!$AI$5:$AI$504,"Quarter 3",'Tracking Sheet'!$AX$5:$AX$504,Calculations!$K$1)</f>
        <v>0</v>
      </c>
      <c r="L273" s="17" t="s">
        <v>25</v>
      </c>
      <c r="M273" s="17" t="str">
        <f>'Demographic Descriptions'!M35</f>
        <v>Position 33</v>
      </c>
      <c r="N273" s="17">
        <f ca="1">COUNTIFS('Tracking Sheet'!$AM$5:$AM$504,Calculations!M273,'Tracking Sheet'!$AV$5:$AV$504,"Quarter 3",'Tracking Sheet'!$AY$5:$AY$504,Calculations!$K$1)</f>
        <v>0</v>
      </c>
    </row>
    <row r="274" spans="1:14" ht="15.75" customHeight="1">
      <c r="A274" s="17" t="s">
        <v>246</v>
      </c>
      <c r="B274" s="17">
        <f>COUNTIFS('Tracking Sheet'!$D$5:$D$504,A274,'Tracking Sheet'!$AL$5:$AL$504,"active")</f>
        <v>0</v>
      </c>
      <c r="C274" s="29"/>
      <c r="F274" s="17" t="s">
        <v>25</v>
      </c>
      <c r="G274" s="17" t="str">
        <f>'Demographic Descriptions'!M36</f>
        <v>Position 34</v>
      </c>
      <c r="H274" s="17">
        <f ca="1">COUNTIFS('Tracking Sheet'!$AM$5:$AM$504,Calculations!G274,'Tracking Sheet'!$AI$5:$AI$504,"Quarter 3",'Tracking Sheet'!$AX$5:$AX$504,Calculations!$K$1)</f>
        <v>0</v>
      </c>
      <c r="L274" s="17" t="s">
        <v>25</v>
      </c>
      <c r="M274" s="17" t="str">
        <f>'Demographic Descriptions'!M36</f>
        <v>Position 34</v>
      </c>
      <c r="N274" s="17">
        <f ca="1">COUNTIFS('Tracking Sheet'!$AM$5:$AM$504,Calculations!M274,'Tracking Sheet'!$AV$5:$AV$504,"Quarter 3",'Tracking Sheet'!$AY$5:$AY$504,Calculations!$K$1)</f>
        <v>0</v>
      </c>
    </row>
    <row r="275" spans="1:14" ht="15.75" customHeight="1">
      <c r="A275" s="17" t="s">
        <v>395</v>
      </c>
      <c r="B275" s="17">
        <f>COUNTIFS('Tracking Sheet'!$D$5:$D$504,A275,'Tracking Sheet'!$AL$5:$AL$504,"active")</f>
        <v>0</v>
      </c>
      <c r="C275" s="29"/>
      <c r="F275" s="17" t="s">
        <v>25</v>
      </c>
      <c r="G275" s="17" t="str">
        <f>'Demographic Descriptions'!M37</f>
        <v>Position 35</v>
      </c>
      <c r="H275" s="17">
        <f ca="1">COUNTIFS('Tracking Sheet'!$AM$5:$AM$504,Calculations!G275,'Tracking Sheet'!$AI$5:$AI$504,"Quarter 3",'Tracking Sheet'!$AX$5:$AX$504,Calculations!$K$1)</f>
        <v>0</v>
      </c>
      <c r="L275" s="17" t="s">
        <v>25</v>
      </c>
      <c r="M275" s="17" t="str">
        <f>'Demographic Descriptions'!M37</f>
        <v>Position 35</v>
      </c>
      <c r="N275" s="17">
        <f ca="1">COUNTIFS('Tracking Sheet'!$AM$5:$AM$504,Calculations!M275,'Tracking Sheet'!$AV$5:$AV$504,"Quarter 3",'Tracking Sheet'!$AY$5:$AY$504,Calculations!$K$1)</f>
        <v>0</v>
      </c>
    </row>
    <row r="276" spans="1:14" ht="15.75" customHeight="1">
      <c r="A276" s="17" t="s">
        <v>399</v>
      </c>
      <c r="B276" s="17">
        <f>COUNTIFS('Tracking Sheet'!$D$5:$D$504,A276,'Tracking Sheet'!$AL$5:$AL$504,"active")</f>
        <v>0</v>
      </c>
      <c r="C276" s="29"/>
      <c r="F276" s="17" t="s">
        <v>25</v>
      </c>
      <c r="G276" s="17" t="str">
        <f>'Demographic Descriptions'!M38</f>
        <v>Position 36</v>
      </c>
      <c r="H276" s="17">
        <f ca="1">COUNTIFS('Tracking Sheet'!$AM$5:$AM$504,Calculations!G276,'Tracking Sheet'!$AI$5:$AI$504,"Quarter 3",'Tracking Sheet'!$AX$5:$AX$504,Calculations!$K$1)</f>
        <v>0</v>
      </c>
      <c r="L276" s="17" t="s">
        <v>25</v>
      </c>
      <c r="M276" s="17" t="str">
        <f>'Demographic Descriptions'!M38</f>
        <v>Position 36</v>
      </c>
      <c r="N276" s="17">
        <f ca="1">COUNTIFS('Tracking Sheet'!$AM$5:$AM$504,Calculations!M276,'Tracking Sheet'!$AV$5:$AV$504,"Quarter 3",'Tracking Sheet'!$AY$5:$AY$504,Calculations!$K$1)</f>
        <v>0</v>
      </c>
    </row>
    <row r="277" spans="1:14" ht="15.75" customHeight="1">
      <c r="A277" s="17" t="s">
        <v>402</v>
      </c>
      <c r="B277" s="17">
        <f>COUNTIFS('Tracking Sheet'!$D$5:$D$504,A277,'Tracking Sheet'!$AL$5:$AL$504,"active")</f>
        <v>0</v>
      </c>
      <c r="C277" s="29"/>
      <c r="F277" s="17" t="s">
        <v>25</v>
      </c>
      <c r="G277" s="17" t="str">
        <f>'Demographic Descriptions'!M39</f>
        <v>Position 37</v>
      </c>
      <c r="H277" s="17">
        <f ca="1">COUNTIFS('Tracking Sheet'!$AM$5:$AM$504,Calculations!G277,'Tracking Sheet'!$AI$5:$AI$504,"Quarter 3",'Tracking Sheet'!$AX$5:$AX$504,Calculations!$K$1)</f>
        <v>0</v>
      </c>
      <c r="L277" s="17" t="s">
        <v>25</v>
      </c>
      <c r="M277" s="17" t="str">
        <f>'Demographic Descriptions'!M39</f>
        <v>Position 37</v>
      </c>
      <c r="N277" s="17">
        <f ca="1">COUNTIFS('Tracking Sheet'!$AM$5:$AM$504,Calculations!M277,'Tracking Sheet'!$AV$5:$AV$504,"Quarter 3",'Tracking Sheet'!$AY$5:$AY$504,Calculations!$K$1)</f>
        <v>0</v>
      </c>
    </row>
    <row r="278" spans="1:14" ht="15.75" customHeight="1">
      <c r="A278" s="17" t="s">
        <v>195</v>
      </c>
      <c r="B278" s="17">
        <f>COUNTIFS('Tracking Sheet'!$D$5:$D$504,A278,'Tracking Sheet'!$AL$5:$AL$504,"active")</f>
        <v>11</v>
      </c>
      <c r="C278" s="29"/>
      <c r="F278" s="17" t="s">
        <v>25</v>
      </c>
      <c r="G278" s="17" t="str">
        <f>'Demographic Descriptions'!M40</f>
        <v>Position 38</v>
      </c>
      <c r="H278" s="17">
        <f ca="1">COUNTIFS('Tracking Sheet'!$AM$5:$AM$504,Calculations!G278,'Tracking Sheet'!$AI$5:$AI$504,"Quarter 3",'Tracking Sheet'!$AX$5:$AX$504,Calculations!$K$1)</f>
        <v>0</v>
      </c>
      <c r="L278" s="17" t="s">
        <v>25</v>
      </c>
      <c r="M278" s="17" t="str">
        <f>'Demographic Descriptions'!M40</f>
        <v>Position 38</v>
      </c>
      <c r="N278" s="17">
        <f ca="1">COUNTIFS('Tracking Sheet'!$AM$5:$AM$504,Calculations!M278,'Tracking Sheet'!$AV$5:$AV$504,"Quarter 3",'Tracking Sheet'!$AY$5:$AY$504,Calculations!$K$1)</f>
        <v>0</v>
      </c>
    </row>
    <row r="279" spans="1:14" ht="15.75" customHeight="1">
      <c r="A279" s="17" t="s">
        <v>408</v>
      </c>
      <c r="B279" s="17">
        <f>COUNTIFS('Tracking Sheet'!$D$5:$D$504,A279,'Tracking Sheet'!$AL$5:$AL$504,"active")</f>
        <v>0</v>
      </c>
      <c r="C279" s="29"/>
      <c r="F279" s="17" t="s">
        <v>25</v>
      </c>
      <c r="G279" s="17" t="str">
        <f>'Demographic Descriptions'!M41</f>
        <v>Position 39</v>
      </c>
      <c r="H279" s="17">
        <f ca="1">COUNTIFS('Tracking Sheet'!$AM$5:$AM$504,Calculations!G279,'Tracking Sheet'!$AI$5:$AI$504,"Quarter 3",'Tracking Sheet'!$AX$5:$AX$504,Calculations!$K$1)</f>
        <v>0</v>
      </c>
      <c r="L279" s="17" t="s">
        <v>25</v>
      </c>
      <c r="M279" s="17" t="str">
        <f>'Demographic Descriptions'!M41</f>
        <v>Position 39</v>
      </c>
      <c r="N279" s="17">
        <f ca="1">COUNTIFS('Tracking Sheet'!$AM$5:$AM$504,Calculations!M279,'Tracking Sheet'!$AV$5:$AV$504,"Quarter 3",'Tracking Sheet'!$AY$5:$AY$504,Calculations!$K$1)</f>
        <v>0</v>
      </c>
    </row>
    <row r="280" spans="1:14" ht="15.75" customHeight="1">
      <c r="A280" s="17" t="s">
        <v>411</v>
      </c>
      <c r="B280" s="17">
        <f>COUNTIFS('Tracking Sheet'!$D$5:$D$504,A280,'Tracking Sheet'!$AL$5:$AL$504,"active")</f>
        <v>0</v>
      </c>
      <c r="C280" s="29"/>
      <c r="F280" s="17" t="s">
        <v>25</v>
      </c>
      <c r="G280" s="17" t="str">
        <f>'Demographic Descriptions'!M42</f>
        <v>Position 40</v>
      </c>
      <c r="H280" s="17">
        <f ca="1">COUNTIFS('Tracking Sheet'!$AM$5:$AM$504,Calculations!G280,'Tracking Sheet'!$AI$5:$AI$504,"Quarter 3",'Tracking Sheet'!$AX$5:$AX$504,Calculations!$K$1)</f>
        <v>0</v>
      </c>
      <c r="L280" s="17" t="s">
        <v>25</v>
      </c>
      <c r="M280" s="17" t="str">
        <f>'Demographic Descriptions'!M42</f>
        <v>Position 40</v>
      </c>
      <c r="N280" s="17">
        <f ca="1">COUNTIFS('Tracking Sheet'!$AM$5:$AM$504,Calculations!M280,'Tracking Sheet'!$AV$5:$AV$504,"Quarter 3",'Tracking Sheet'!$AY$5:$AY$504,Calculations!$K$1)</f>
        <v>0</v>
      </c>
    </row>
    <row r="281" spans="1:14" ht="15.75" customHeight="1">
      <c r="A281" s="17" t="s">
        <v>414</v>
      </c>
      <c r="B281" s="17">
        <f>COUNTIFS('Tracking Sheet'!$D$5:$D$504,A281,'Tracking Sheet'!$AL$5:$AL$504,"active")</f>
        <v>0</v>
      </c>
      <c r="C281" s="29"/>
      <c r="F281" s="17" t="s">
        <v>25</v>
      </c>
      <c r="G281" s="17" t="str">
        <f>'Demographic Descriptions'!M43</f>
        <v>Position 41</v>
      </c>
      <c r="H281" s="17">
        <f ca="1">COUNTIFS('Tracking Sheet'!$AM$5:$AM$504,Calculations!G281,'Tracking Sheet'!$AI$5:$AI$504,"Quarter 3",'Tracking Sheet'!$AX$5:$AX$504,Calculations!$K$1)</f>
        <v>0</v>
      </c>
      <c r="L281" s="17" t="s">
        <v>25</v>
      </c>
      <c r="M281" s="17" t="str">
        <f>'Demographic Descriptions'!M43</f>
        <v>Position 41</v>
      </c>
      <c r="N281" s="17">
        <f ca="1">COUNTIFS('Tracking Sheet'!$AM$5:$AM$504,Calculations!M281,'Tracking Sheet'!$AV$5:$AV$504,"Quarter 3",'Tracking Sheet'!$AY$5:$AY$504,Calculations!$K$1)</f>
        <v>0</v>
      </c>
    </row>
    <row r="282" spans="1:14" ht="15.75" customHeight="1">
      <c r="A282" s="17" t="s">
        <v>241</v>
      </c>
      <c r="B282" s="17">
        <f>COUNTIFS('Tracking Sheet'!$D$5:$D$504,A282,'Tracking Sheet'!$AL$5:$AL$504,"active")</f>
        <v>1</v>
      </c>
      <c r="C282" s="29"/>
      <c r="F282" s="17" t="s">
        <v>25</v>
      </c>
      <c r="G282" s="17" t="str">
        <f>'Demographic Descriptions'!M44</f>
        <v>Position 42</v>
      </c>
      <c r="H282" s="17">
        <f ca="1">COUNTIFS('Tracking Sheet'!$AM$5:$AM$504,Calculations!G282,'Tracking Sheet'!$AI$5:$AI$504,"Quarter 3",'Tracking Sheet'!$AX$5:$AX$504,Calculations!$K$1)</f>
        <v>0</v>
      </c>
      <c r="L282" s="17" t="s">
        <v>25</v>
      </c>
      <c r="M282" s="17" t="str">
        <f>'Demographic Descriptions'!M44</f>
        <v>Position 42</v>
      </c>
      <c r="N282" s="17">
        <f ca="1">COUNTIFS('Tracking Sheet'!$AM$5:$AM$504,Calculations!M282,'Tracking Sheet'!$AV$5:$AV$504,"Quarter 3",'Tracking Sheet'!$AY$5:$AY$504,Calculations!$K$1)</f>
        <v>0</v>
      </c>
    </row>
    <row r="283" spans="1:14" ht="15.75" customHeight="1">
      <c r="A283" s="17" t="s">
        <v>420</v>
      </c>
      <c r="B283" s="17">
        <f>COUNTIFS('Tracking Sheet'!$D$5:$D$504,A283,'Tracking Sheet'!$AL$5:$AL$504,"active")</f>
        <v>0</v>
      </c>
      <c r="C283" s="29"/>
      <c r="F283" s="17" t="s">
        <v>25</v>
      </c>
      <c r="G283" s="17" t="str">
        <f>'Demographic Descriptions'!M45</f>
        <v>Position 43</v>
      </c>
      <c r="H283" s="17">
        <f ca="1">COUNTIFS('Tracking Sheet'!$AM$5:$AM$504,Calculations!G283,'Tracking Sheet'!$AI$5:$AI$504,"Quarter 3",'Tracking Sheet'!$AX$5:$AX$504,Calculations!$K$1)</f>
        <v>0</v>
      </c>
      <c r="L283" s="17" t="s">
        <v>25</v>
      </c>
      <c r="M283" s="17" t="str">
        <f>'Demographic Descriptions'!M45</f>
        <v>Position 43</v>
      </c>
      <c r="N283" s="17">
        <f ca="1">COUNTIFS('Tracking Sheet'!$AM$5:$AM$504,Calculations!M283,'Tracking Sheet'!$AV$5:$AV$504,"Quarter 3",'Tracking Sheet'!$AY$5:$AY$504,Calculations!$K$1)</f>
        <v>0</v>
      </c>
    </row>
    <row r="284" spans="1:14" ht="15.75" customHeight="1">
      <c r="A284" s="17" t="s">
        <v>257</v>
      </c>
      <c r="B284" s="17">
        <f>COUNTIFS('Tracking Sheet'!$D$5:$D$504,A284,'Tracking Sheet'!$AL$5:$AL$504,"active")</f>
        <v>0</v>
      </c>
      <c r="C284" s="29"/>
      <c r="F284" s="17" t="s">
        <v>25</v>
      </c>
      <c r="G284" s="17" t="str">
        <f>'Demographic Descriptions'!M46</f>
        <v>Position 44</v>
      </c>
      <c r="H284" s="17">
        <f ca="1">COUNTIFS('Tracking Sheet'!$AM$5:$AM$504,Calculations!G284,'Tracking Sheet'!$AI$5:$AI$504,"Quarter 3",'Tracking Sheet'!$AX$5:$AX$504,Calculations!$K$1)</f>
        <v>0</v>
      </c>
      <c r="L284" s="17" t="s">
        <v>25</v>
      </c>
      <c r="M284" s="17" t="str">
        <f>'Demographic Descriptions'!M46</f>
        <v>Position 44</v>
      </c>
      <c r="N284" s="17">
        <f ca="1">COUNTIFS('Tracking Sheet'!$AM$5:$AM$504,Calculations!M284,'Tracking Sheet'!$AV$5:$AV$504,"Quarter 3",'Tracking Sheet'!$AY$5:$AY$504,Calculations!$K$1)</f>
        <v>0</v>
      </c>
    </row>
    <row r="285" spans="1:14" ht="15.75" customHeight="1">
      <c r="A285" s="17" t="s">
        <v>426</v>
      </c>
      <c r="B285" s="17">
        <f>COUNTIFS('Tracking Sheet'!$D$5:$D$504,A285,'Tracking Sheet'!$AL$5:$AL$504,"active")</f>
        <v>0</v>
      </c>
      <c r="C285" s="29"/>
      <c r="F285" s="17" t="s">
        <v>25</v>
      </c>
      <c r="G285" s="17" t="str">
        <f>'Demographic Descriptions'!M47</f>
        <v>Position 45</v>
      </c>
      <c r="H285" s="17">
        <f ca="1">COUNTIFS('Tracking Sheet'!$AM$5:$AM$504,Calculations!G285,'Tracking Sheet'!$AI$5:$AI$504,"Quarter 3",'Tracking Sheet'!$AX$5:$AX$504,Calculations!$K$1)</f>
        <v>0</v>
      </c>
      <c r="L285" s="17" t="s">
        <v>25</v>
      </c>
      <c r="M285" s="17" t="str">
        <f>'Demographic Descriptions'!M47</f>
        <v>Position 45</v>
      </c>
      <c r="N285" s="17">
        <f ca="1">COUNTIFS('Tracking Sheet'!$AM$5:$AM$504,Calculations!M285,'Tracking Sheet'!$AV$5:$AV$504,"Quarter 3",'Tracking Sheet'!$AY$5:$AY$504,Calculations!$K$1)</f>
        <v>0</v>
      </c>
    </row>
    <row r="286" spans="1:14" ht="15.75" customHeight="1">
      <c r="A286" s="17" t="s">
        <v>430</v>
      </c>
      <c r="B286" s="17">
        <f>COUNTIFS('Tracking Sheet'!$D$5:$D$504,A286,'Tracking Sheet'!$AL$5:$AL$504,"active")</f>
        <v>0</v>
      </c>
      <c r="C286" s="29"/>
      <c r="F286" s="17" t="s">
        <v>25</v>
      </c>
      <c r="G286" s="17" t="str">
        <f>'Demographic Descriptions'!M48</f>
        <v>Position 46</v>
      </c>
      <c r="H286" s="17">
        <f ca="1">COUNTIFS('Tracking Sheet'!$AM$5:$AM$504,Calculations!G286,'Tracking Sheet'!$AI$5:$AI$504,"Quarter 3",'Tracking Sheet'!$AX$5:$AX$504,Calculations!$K$1)</f>
        <v>0</v>
      </c>
      <c r="L286" s="17" t="s">
        <v>25</v>
      </c>
      <c r="M286" s="17" t="str">
        <f>'Demographic Descriptions'!M48</f>
        <v>Position 46</v>
      </c>
      <c r="N286" s="17">
        <f ca="1">COUNTIFS('Tracking Sheet'!$AM$5:$AM$504,Calculations!M286,'Tracking Sheet'!$AV$5:$AV$504,"Quarter 3",'Tracking Sheet'!$AY$5:$AY$504,Calculations!$K$1)</f>
        <v>0</v>
      </c>
    </row>
    <row r="287" spans="1:14" ht="15.75" customHeight="1">
      <c r="A287" s="17" t="s">
        <v>432</v>
      </c>
      <c r="B287" s="17">
        <f>COUNTIFS('Tracking Sheet'!$D$5:$D$504,A287,'Tracking Sheet'!$AL$5:$AL$504,"active")</f>
        <v>0</v>
      </c>
      <c r="C287" s="29"/>
      <c r="F287" s="17" t="s">
        <v>25</v>
      </c>
      <c r="G287" s="17" t="str">
        <f>'Demographic Descriptions'!M49</f>
        <v>Position 47</v>
      </c>
      <c r="H287" s="17">
        <f ca="1">COUNTIFS('Tracking Sheet'!$AM$5:$AM$504,Calculations!G287,'Tracking Sheet'!$AI$5:$AI$504,"Quarter 3",'Tracking Sheet'!$AX$5:$AX$504,Calculations!$K$1)</f>
        <v>0</v>
      </c>
      <c r="L287" s="17" t="s">
        <v>25</v>
      </c>
      <c r="M287" s="17" t="str">
        <f>'Demographic Descriptions'!M49</f>
        <v>Position 47</v>
      </c>
      <c r="N287" s="17">
        <f ca="1">COUNTIFS('Tracking Sheet'!$AM$5:$AM$504,Calculations!M287,'Tracking Sheet'!$AV$5:$AV$504,"Quarter 3",'Tracking Sheet'!$AY$5:$AY$504,Calculations!$K$1)</f>
        <v>0</v>
      </c>
    </row>
    <row r="288" spans="1:14" ht="15.75" customHeight="1">
      <c r="A288" s="17" t="s">
        <v>436</v>
      </c>
      <c r="B288" s="17">
        <f>COUNTIFS('Tracking Sheet'!$D$5:$D$504,A288,'Tracking Sheet'!$AL$5:$AL$504,"active")</f>
        <v>0</v>
      </c>
      <c r="C288" s="29"/>
      <c r="F288" s="17" t="s">
        <v>25</v>
      </c>
      <c r="G288" s="17" t="str">
        <f>'Demographic Descriptions'!M50</f>
        <v>Position 48</v>
      </c>
      <c r="H288" s="17">
        <f ca="1">COUNTIFS('Tracking Sheet'!$AM$5:$AM$504,Calculations!G288,'Tracking Sheet'!$AI$5:$AI$504,"Quarter 3",'Tracking Sheet'!$AX$5:$AX$504,Calculations!$K$1)</f>
        <v>0</v>
      </c>
      <c r="L288" s="17" t="s">
        <v>25</v>
      </c>
      <c r="M288" s="17" t="str">
        <f>'Demographic Descriptions'!M50</f>
        <v>Position 48</v>
      </c>
      <c r="N288" s="17">
        <f ca="1">COUNTIFS('Tracking Sheet'!$AM$5:$AM$504,Calculations!M288,'Tracking Sheet'!$AV$5:$AV$504,"Quarter 3",'Tracking Sheet'!$AY$5:$AY$504,Calculations!$K$1)</f>
        <v>0</v>
      </c>
    </row>
    <row r="289" spans="1:14" ht="15.75" customHeight="1">
      <c r="A289" s="17" t="s">
        <v>440</v>
      </c>
      <c r="B289" s="17">
        <f>COUNTIFS('Tracking Sheet'!$D$5:$D$504,A289,'Tracking Sheet'!$AL$5:$AL$504,"active")</f>
        <v>0</v>
      </c>
      <c r="C289" s="29"/>
      <c r="F289" s="17" t="s">
        <v>25</v>
      </c>
      <c r="G289" s="17" t="str">
        <f>'Demographic Descriptions'!M51</f>
        <v>Position 49</v>
      </c>
      <c r="H289" s="17">
        <f ca="1">COUNTIFS('Tracking Sheet'!$AM$5:$AM$504,Calculations!G289,'Tracking Sheet'!$AI$5:$AI$504,"Quarter 3",'Tracking Sheet'!$AX$5:$AX$504,Calculations!$K$1)</f>
        <v>0</v>
      </c>
      <c r="L289" s="17" t="s">
        <v>25</v>
      </c>
      <c r="M289" s="17" t="str">
        <f>'Demographic Descriptions'!M51</f>
        <v>Position 49</v>
      </c>
      <c r="N289" s="17">
        <f ca="1">COUNTIFS('Tracking Sheet'!$AM$5:$AM$504,Calculations!M289,'Tracking Sheet'!$AV$5:$AV$504,"Quarter 3",'Tracking Sheet'!$AY$5:$AY$504,Calculations!$K$1)</f>
        <v>0</v>
      </c>
    </row>
    <row r="290" spans="1:14" ht="15.75" customHeight="1" thickBot="1">
      <c r="A290" s="17" t="s">
        <v>444</v>
      </c>
      <c r="B290" s="17">
        <f>COUNTIFS('Tracking Sheet'!$D$5:$D$504,A290,'Tracking Sheet'!$AL$5:$AL$504,"active")</f>
        <v>0</v>
      </c>
      <c r="C290" s="29"/>
      <c r="F290" s="20" t="s">
        <v>25</v>
      </c>
      <c r="G290" s="20" t="str">
        <f>'Demographic Descriptions'!M52</f>
        <v>Position 50</v>
      </c>
      <c r="H290" s="20">
        <f ca="1">COUNTIFS('Tracking Sheet'!$AM$5:$AM$504,Calculations!G290,'Tracking Sheet'!$AI$5:$AI$504,"Quarter 3",'Tracking Sheet'!$AX$5:$AX$504,Calculations!$K$1)</f>
        <v>0</v>
      </c>
      <c r="L290" s="20" t="s">
        <v>25</v>
      </c>
      <c r="M290" s="20" t="str">
        <f>'Demographic Descriptions'!M52</f>
        <v>Position 50</v>
      </c>
      <c r="N290" s="20">
        <f ca="1">COUNTIFS('Tracking Sheet'!$AM$5:$AM$504,Calculations!M290,'Tracking Sheet'!$AV$5:$AV$504,"Quarter 3",'Tracking Sheet'!$AY$5:$AY$504,Calculations!$K$1)</f>
        <v>0</v>
      </c>
    </row>
    <row r="291" spans="1:14" ht="15.75" customHeight="1" thickTop="1">
      <c r="A291" s="17" t="s">
        <v>250</v>
      </c>
      <c r="B291" s="17">
        <f>COUNTIFS('Tracking Sheet'!$D$5:$D$504,A291,'Tracking Sheet'!$AL$5:$AL$504,"active")</f>
        <v>1</v>
      </c>
      <c r="C291" s="29"/>
      <c r="F291" s="17" t="s">
        <v>26</v>
      </c>
      <c r="G291" s="17" t="str">
        <f>'Demographic Descriptions'!M3</f>
        <v>Position 1</v>
      </c>
      <c r="H291" s="21">
        <f ca="1">COUNTIFS('Tracking Sheet'!$AM$5:$AM$504,Calculations!G291,'Tracking Sheet'!$AI$5:$AI$504,"Quarter 4",'Tracking Sheet'!$AX$5:$AX$504,Calculations!$K$1)</f>
        <v>0</v>
      </c>
      <c r="L291" s="17" t="s">
        <v>26</v>
      </c>
      <c r="M291" s="17" t="str">
        <f>'Demographic Descriptions'!M3</f>
        <v>Position 1</v>
      </c>
      <c r="N291" s="21">
        <f ca="1">COUNTIFS('Tracking Sheet'!$AM$5:$AM$504,Calculations!M291,'Tracking Sheet'!$AV$5:$AV$504,"Quarter 4",'Tracking Sheet'!$AY$5:$AY$504,Calculations!$K$1)</f>
        <v>0</v>
      </c>
    </row>
    <row r="292" spans="1:14" ht="15.75" customHeight="1">
      <c r="A292" s="17" t="s">
        <v>450</v>
      </c>
      <c r="B292" s="17">
        <f>COUNTIFS('Tracking Sheet'!$D$5:$D$504,A292,'Tracking Sheet'!$AL$5:$AL$504,"active")</f>
        <v>1</v>
      </c>
      <c r="C292" s="29"/>
      <c r="F292" s="17" t="s">
        <v>26</v>
      </c>
      <c r="G292" s="17" t="str">
        <f>'Demographic Descriptions'!M4</f>
        <v>Position 2</v>
      </c>
      <c r="H292" s="17">
        <f ca="1">COUNTIFS('Tracking Sheet'!$AM$5:$AM$504,Calculations!G292,'Tracking Sheet'!$AI$5:$AI$504,"Quarter 4",'Tracking Sheet'!$AX$5:$AX$504,Calculations!$K$1)</f>
        <v>0</v>
      </c>
      <c r="L292" s="17" t="s">
        <v>26</v>
      </c>
      <c r="M292" s="17" t="str">
        <f>'Demographic Descriptions'!M4</f>
        <v>Position 2</v>
      </c>
      <c r="N292" s="17">
        <f ca="1">COUNTIFS('Tracking Sheet'!$AM$5:$AM$504,Calculations!M292,'Tracking Sheet'!$AV$5:$AV$504,"Quarter 4",'Tracking Sheet'!$AY$5:$AY$504,Calculations!$K$1)</f>
        <v>0</v>
      </c>
    </row>
    <row r="293" spans="1:14" ht="15.75" customHeight="1">
      <c r="A293" s="17" t="s">
        <v>453</v>
      </c>
      <c r="B293" s="17">
        <f>COUNTIFS('Tracking Sheet'!$D$5:$D$504,A293,'Tracking Sheet'!$AL$5:$AL$504,"active")</f>
        <v>0</v>
      </c>
      <c r="C293" s="29"/>
      <c r="F293" s="17" t="s">
        <v>26</v>
      </c>
      <c r="G293" s="17" t="str">
        <f>'Demographic Descriptions'!M5</f>
        <v>Position 3</v>
      </c>
      <c r="H293" s="17">
        <f ca="1">COUNTIFS('Tracking Sheet'!$AM$5:$AM$504,Calculations!G293,'Tracking Sheet'!$AI$5:$AI$504,"Quarter 4",'Tracking Sheet'!$AX$5:$AX$504,Calculations!$K$1)</f>
        <v>0</v>
      </c>
      <c r="L293" s="17" t="s">
        <v>26</v>
      </c>
      <c r="M293" s="17" t="str">
        <f>'Demographic Descriptions'!M5</f>
        <v>Position 3</v>
      </c>
      <c r="N293" s="17">
        <f ca="1">COUNTIFS('Tracking Sheet'!$AM$5:$AM$504,Calculations!M293,'Tracking Sheet'!$AV$5:$AV$504,"Quarter 4",'Tracking Sheet'!$AY$5:$AY$504,Calculations!$K$1)</f>
        <v>0</v>
      </c>
    </row>
    <row r="294" spans="1:14" ht="15.75" customHeight="1">
      <c r="A294" s="17" t="s">
        <v>456</v>
      </c>
      <c r="B294" s="17">
        <f>COUNTIFS('Tracking Sheet'!$D$5:$D$504,A294,'Tracking Sheet'!$AL$5:$AL$504,"active")</f>
        <v>0</v>
      </c>
      <c r="C294" s="29"/>
      <c r="F294" s="17" t="s">
        <v>26</v>
      </c>
      <c r="G294" s="17" t="str">
        <f>'Demographic Descriptions'!M6</f>
        <v>Position 4</v>
      </c>
      <c r="H294" s="17">
        <f ca="1">COUNTIFS('Tracking Sheet'!$AM$5:$AM$504,Calculations!G294,'Tracking Sheet'!$AI$5:$AI$504,"Quarter 4",'Tracking Sheet'!$AX$5:$AX$504,Calculations!$K$1)</f>
        <v>0</v>
      </c>
      <c r="L294" s="17" t="s">
        <v>26</v>
      </c>
      <c r="M294" s="17" t="str">
        <f>'Demographic Descriptions'!M6</f>
        <v>Position 4</v>
      </c>
      <c r="N294" s="17">
        <f ca="1">COUNTIFS('Tracking Sheet'!$AM$5:$AM$504,Calculations!M294,'Tracking Sheet'!$AV$5:$AV$504,"Quarter 4",'Tracking Sheet'!$AY$5:$AY$504,Calculations!$K$1)</f>
        <v>0</v>
      </c>
    </row>
    <row r="295" spans="1:14" ht="15.75" customHeight="1">
      <c r="A295" s="17" t="s">
        <v>460</v>
      </c>
      <c r="B295" s="17">
        <f>COUNTIFS('Tracking Sheet'!$D$5:$D$504,A295,'Tracking Sheet'!$AL$5:$AL$504,"active")</f>
        <v>0</v>
      </c>
      <c r="C295" s="29"/>
      <c r="F295" s="17" t="s">
        <v>26</v>
      </c>
      <c r="G295" s="17" t="str">
        <f>'Demographic Descriptions'!M7</f>
        <v>Position 5</v>
      </c>
      <c r="H295" s="17">
        <f ca="1">COUNTIFS('Tracking Sheet'!$AM$5:$AM$504,Calculations!G295,'Tracking Sheet'!$AI$5:$AI$504,"Quarter 4",'Tracking Sheet'!$AX$5:$AX$504,Calculations!$K$1)</f>
        <v>0</v>
      </c>
      <c r="L295" s="17" t="s">
        <v>26</v>
      </c>
      <c r="M295" s="17" t="str">
        <f>'Demographic Descriptions'!M7</f>
        <v>Position 5</v>
      </c>
      <c r="N295" s="17">
        <f ca="1">COUNTIFS('Tracking Sheet'!$AM$5:$AM$504,Calculations!M295,'Tracking Sheet'!$AV$5:$AV$504,"Quarter 4",'Tracking Sheet'!$AY$5:$AY$504,Calculations!$K$1)</f>
        <v>0</v>
      </c>
    </row>
    <row r="296" spans="1:14" ht="15.75" customHeight="1">
      <c r="A296" s="17" t="s">
        <v>464</v>
      </c>
      <c r="B296" s="17">
        <f>COUNTIFS('Tracking Sheet'!$D$5:$D$504,A296,'Tracking Sheet'!$AL$5:$AL$504,"active")</f>
        <v>0</v>
      </c>
      <c r="C296" s="29"/>
      <c r="F296" s="17" t="s">
        <v>26</v>
      </c>
      <c r="G296" s="17" t="str">
        <f>'Demographic Descriptions'!M8</f>
        <v>Position 6</v>
      </c>
      <c r="H296" s="17">
        <f ca="1">COUNTIFS('Tracking Sheet'!$AM$5:$AM$504,Calculations!G296,'Tracking Sheet'!$AI$5:$AI$504,"Quarter 4",'Tracking Sheet'!$AX$5:$AX$504,Calculations!$K$1)</f>
        <v>0</v>
      </c>
      <c r="L296" s="17" t="s">
        <v>26</v>
      </c>
      <c r="M296" s="17" t="str">
        <f>'Demographic Descriptions'!M8</f>
        <v>Position 6</v>
      </c>
      <c r="N296" s="17">
        <f ca="1">COUNTIFS('Tracking Sheet'!$AM$5:$AM$504,Calculations!M296,'Tracking Sheet'!$AV$5:$AV$504,"Quarter 4",'Tracking Sheet'!$AY$5:$AY$504,Calculations!$K$1)</f>
        <v>0</v>
      </c>
    </row>
    <row r="297" spans="1:14" ht="15.75" customHeight="1">
      <c r="A297" s="17" t="s">
        <v>263</v>
      </c>
      <c r="B297" s="17">
        <f>COUNTIFS('Tracking Sheet'!$D$5:$D$504,A297,'Tracking Sheet'!$AL$5:$AL$504,"active")</f>
        <v>0</v>
      </c>
      <c r="C297" s="29"/>
      <c r="F297" s="17" t="s">
        <v>26</v>
      </c>
      <c r="G297" s="17" t="str">
        <f>'Demographic Descriptions'!M9</f>
        <v>Position 7</v>
      </c>
      <c r="H297" s="17">
        <f ca="1">COUNTIFS('Tracking Sheet'!$AM$5:$AM$504,Calculations!G297,'Tracking Sheet'!$AI$5:$AI$504,"Quarter 4",'Tracking Sheet'!$AX$5:$AX$504,Calculations!$K$1)</f>
        <v>0</v>
      </c>
      <c r="L297" s="17" t="s">
        <v>26</v>
      </c>
      <c r="M297" s="17" t="str">
        <f>'Demographic Descriptions'!M9</f>
        <v>Position 7</v>
      </c>
      <c r="N297" s="17">
        <f ca="1">COUNTIFS('Tracking Sheet'!$AM$5:$AM$504,Calculations!M297,'Tracking Sheet'!$AV$5:$AV$504,"Quarter 4",'Tracking Sheet'!$AY$5:$AY$504,Calculations!$K$1)</f>
        <v>0</v>
      </c>
    </row>
    <row r="298" spans="1:14" ht="15.75" customHeight="1">
      <c r="A298" s="17" t="s">
        <v>178</v>
      </c>
      <c r="B298" s="17">
        <f>COUNTIFS('Tracking Sheet'!$D$5:$D$504,A298,'Tracking Sheet'!$AL$5:$AL$504,"active")</f>
        <v>2</v>
      </c>
      <c r="C298" s="29"/>
      <c r="F298" s="17" t="s">
        <v>26</v>
      </c>
      <c r="G298" s="17" t="str">
        <f>'Demographic Descriptions'!M10</f>
        <v>Position 8</v>
      </c>
      <c r="H298" s="17">
        <f ca="1">COUNTIFS('Tracking Sheet'!$AM$5:$AM$504,Calculations!G298,'Tracking Sheet'!$AI$5:$AI$504,"Quarter 4",'Tracking Sheet'!$AX$5:$AX$504,Calculations!$K$1)</f>
        <v>0</v>
      </c>
      <c r="L298" s="17" t="s">
        <v>26</v>
      </c>
      <c r="M298" s="17" t="str">
        <f>'Demographic Descriptions'!M10</f>
        <v>Position 8</v>
      </c>
      <c r="N298" s="17">
        <f ca="1">COUNTIFS('Tracking Sheet'!$AM$5:$AM$504,Calculations!M298,'Tracking Sheet'!$AV$5:$AV$504,"Quarter 4",'Tracking Sheet'!$AY$5:$AY$504,Calculations!$K$1)</f>
        <v>0</v>
      </c>
    </row>
    <row r="299" spans="1:14" ht="15.75" customHeight="1">
      <c r="A299" s="17" t="s">
        <v>472</v>
      </c>
      <c r="B299" s="17">
        <f>COUNTIFS('Tracking Sheet'!$D$5:$D$504,A299,'Tracking Sheet'!$AL$5:$AL$504,"active")</f>
        <v>0</v>
      </c>
      <c r="C299" s="29"/>
      <c r="F299" s="17" t="s">
        <v>26</v>
      </c>
      <c r="G299" s="17" t="str">
        <f>'Demographic Descriptions'!M11</f>
        <v>Position 9</v>
      </c>
      <c r="H299" s="17">
        <f ca="1">COUNTIFS('Tracking Sheet'!$AM$5:$AM$504,Calculations!G299,'Tracking Sheet'!$AI$5:$AI$504,"Quarter 4",'Tracking Sheet'!$AX$5:$AX$504,Calculations!$K$1)</f>
        <v>0</v>
      </c>
      <c r="L299" s="17" t="s">
        <v>26</v>
      </c>
      <c r="M299" s="17" t="str">
        <f>'Demographic Descriptions'!M11</f>
        <v>Position 9</v>
      </c>
      <c r="N299" s="17">
        <f ca="1">COUNTIFS('Tracking Sheet'!$AM$5:$AM$504,Calculations!M299,'Tracking Sheet'!$AV$5:$AV$504,"Quarter 4",'Tracking Sheet'!$AY$5:$AY$504,Calculations!$K$1)</f>
        <v>0</v>
      </c>
    </row>
    <row r="300" spans="1:14" ht="15.75" customHeight="1">
      <c r="A300" s="17" t="s">
        <v>476</v>
      </c>
      <c r="B300" s="17">
        <f>COUNTIFS('Tracking Sheet'!$D$5:$D$504,A300,'Tracking Sheet'!$AL$5:$AL$504,"active")</f>
        <v>0</v>
      </c>
      <c r="C300" s="29"/>
      <c r="F300" s="17" t="s">
        <v>26</v>
      </c>
      <c r="G300" s="17" t="str">
        <f>'Demographic Descriptions'!M12</f>
        <v>Position 10</v>
      </c>
      <c r="H300" s="17">
        <f ca="1">COUNTIFS('Tracking Sheet'!$AM$5:$AM$504,Calculations!G300,'Tracking Sheet'!$AI$5:$AI$504,"Quarter 4",'Tracking Sheet'!$AX$5:$AX$504,Calculations!$K$1)</f>
        <v>0</v>
      </c>
      <c r="L300" s="17" t="s">
        <v>26</v>
      </c>
      <c r="M300" s="17" t="str">
        <f>'Demographic Descriptions'!M12</f>
        <v>Position 10</v>
      </c>
      <c r="N300" s="17">
        <f ca="1">COUNTIFS('Tracking Sheet'!$AM$5:$AM$504,Calculations!M300,'Tracking Sheet'!$AV$5:$AV$504,"Quarter 4",'Tracking Sheet'!$AY$5:$AY$504,Calculations!$K$1)</f>
        <v>0</v>
      </c>
    </row>
    <row r="301" spans="1:14" ht="15.75" customHeight="1">
      <c r="A301" s="17" t="s">
        <v>480</v>
      </c>
      <c r="B301" s="17">
        <f>COUNTIFS('Tracking Sheet'!$D$5:$D$504,A301,'Tracking Sheet'!$AL$5:$AL$504,"active")</f>
        <v>0</v>
      </c>
      <c r="C301" s="29"/>
      <c r="F301" s="17" t="s">
        <v>26</v>
      </c>
      <c r="G301" s="17" t="str">
        <f>'Demographic Descriptions'!M13</f>
        <v>Position 11</v>
      </c>
      <c r="H301" s="17">
        <f ca="1">COUNTIFS('Tracking Sheet'!$AM$5:$AM$504,Calculations!G301,'Tracking Sheet'!$AI$5:$AI$504,"Quarter 4",'Tracking Sheet'!$AX$5:$AX$504,Calculations!$K$1)</f>
        <v>0</v>
      </c>
      <c r="L301" s="17" t="s">
        <v>26</v>
      </c>
      <c r="M301" s="17" t="str">
        <f>'Demographic Descriptions'!M13</f>
        <v>Position 11</v>
      </c>
      <c r="N301" s="17">
        <f ca="1">COUNTIFS('Tracking Sheet'!$AM$5:$AM$504,Calculations!M301,'Tracking Sheet'!$AV$5:$AV$504,"Quarter 4",'Tracking Sheet'!$AY$5:$AY$504,Calculations!$K$1)</f>
        <v>0</v>
      </c>
    </row>
    <row r="302" spans="1:14" ht="15.75" customHeight="1">
      <c r="A302" s="17" t="s">
        <v>484</v>
      </c>
      <c r="B302" s="17">
        <f>COUNTIFS('Tracking Sheet'!$D$5:$D$504,A302,'Tracking Sheet'!$AL$5:$AL$504,"active")</f>
        <v>0</v>
      </c>
      <c r="C302" s="29"/>
      <c r="F302" s="17" t="s">
        <v>26</v>
      </c>
      <c r="G302" s="17" t="str">
        <f>'Demographic Descriptions'!M14</f>
        <v>Position 12</v>
      </c>
      <c r="H302" s="17">
        <f ca="1">COUNTIFS('Tracking Sheet'!$AM$5:$AM$504,Calculations!G302,'Tracking Sheet'!$AI$5:$AI$504,"Quarter 4",'Tracking Sheet'!$AX$5:$AX$504,Calculations!$K$1)</f>
        <v>0</v>
      </c>
      <c r="L302" s="17" t="s">
        <v>26</v>
      </c>
      <c r="M302" s="17" t="str">
        <f>'Demographic Descriptions'!M14</f>
        <v>Position 12</v>
      </c>
      <c r="N302" s="17">
        <f ca="1">COUNTIFS('Tracking Sheet'!$AM$5:$AM$504,Calculations!M302,'Tracking Sheet'!$AV$5:$AV$504,"Quarter 4",'Tracking Sheet'!$AY$5:$AY$504,Calculations!$K$1)</f>
        <v>0</v>
      </c>
    </row>
    <row r="303" spans="1:14" ht="15.75" customHeight="1">
      <c r="A303" s="17" t="s">
        <v>488</v>
      </c>
      <c r="B303" s="17">
        <f>COUNTIFS('Tracking Sheet'!$D$5:$D$504,A303,'Tracking Sheet'!$AL$5:$AL$504,"active")</f>
        <v>0</v>
      </c>
      <c r="C303" s="29"/>
      <c r="F303" s="17" t="s">
        <v>26</v>
      </c>
      <c r="G303" s="17" t="str">
        <f>'Demographic Descriptions'!M15</f>
        <v>Position 13</v>
      </c>
      <c r="H303" s="17">
        <f ca="1">COUNTIFS('Tracking Sheet'!$AM$5:$AM$504,Calculations!G303,'Tracking Sheet'!$AI$5:$AI$504,"Quarter 4",'Tracking Sheet'!$AX$5:$AX$504,Calculations!$K$1)</f>
        <v>0</v>
      </c>
      <c r="L303" s="17" t="s">
        <v>26</v>
      </c>
      <c r="M303" s="17" t="str">
        <f>'Demographic Descriptions'!M15</f>
        <v>Position 13</v>
      </c>
      <c r="N303" s="17">
        <f ca="1">COUNTIFS('Tracking Sheet'!$AM$5:$AM$504,Calculations!M303,'Tracking Sheet'!$AV$5:$AV$504,"Quarter 4",'Tracking Sheet'!$AY$5:$AY$504,Calculations!$K$1)</f>
        <v>0</v>
      </c>
    </row>
    <row r="304" spans="1:14" ht="15.75" customHeight="1">
      <c r="A304" s="17" t="s">
        <v>491</v>
      </c>
      <c r="B304" s="17">
        <f>COUNTIFS('Tracking Sheet'!$D$5:$D$504,A304,'Tracking Sheet'!$AL$5:$AL$504,"active")</f>
        <v>0</v>
      </c>
      <c r="C304" s="29"/>
      <c r="F304" s="17" t="s">
        <v>26</v>
      </c>
      <c r="G304" s="17" t="str">
        <f>'Demographic Descriptions'!M16</f>
        <v>Position 14</v>
      </c>
      <c r="H304" s="17">
        <f ca="1">COUNTIFS('Tracking Sheet'!$AM$5:$AM$504,Calculations!G304,'Tracking Sheet'!$AI$5:$AI$504,"Quarter 4",'Tracking Sheet'!$AX$5:$AX$504,Calculations!$K$1)</f>
        <v>0</v>
      </c>
      <c r="L304" s="17" t="s">
        <v>26</v>
      </c>
      <c r="M304" s="17" t="str">
        <f>'Demographic Descriptions'!M16</f>
        <v>Position 14</v>
      </c>
      <c r="N304" s="17">
        <f ca="1">COUNTIFS('Tracking Sheet'!$AM$5:$AM$504,Calculations!M304,'Tracking Sheet'!$AV$5:$AV$504,"Quarter 4",'Tracking Sheet'!$AY$5:$AY$504,Calculations!$K$1)</f>
        <v>0</v>
      </c>
    </row>
    <row r="305" spans="1:14" ht="15.75" customHeight="1">
      <c r="A305" s="17" t="s">
        <v>495</v>
      </c>
      <c r="B305" s="17">
        <f>COUNTIFS('Tracking Sheet'!$D$5:$D$504,A305,'Tracking Sheet'!$AL$5:$AL$504,"active")</f>
        <v>0</v>
      </c>
      <c r="C305" s="29"/>
      <c r="F305" s="17" t="s">
        <v>26</v>
      </c>
      <c r="G305" s="17" t="str">
        <f>'Demographic Descriptions'!M17</f>
        <v>Position 15</v>
      </c>
      <c r="H305" s="17">
        <f ca="1">COUNTIFS('Tracking Sheet'!$AM$5:$AM$504,Calculations!G305,'Tracking Sheet'!$AI$5:$AI$504,"Quarter 4",'Tracking Sheet'!$AX$5:$AX$504,Calculations!$K$1)</f>
        <v>0</v>
      </c>
      <c r="L305" s="17" t="s">
        <v>26</v>
      </c>
      <c r="M305" s="17" t="str">
        <f>'Demographic Descriptions'!M17</f>
        <v>Position 15</v>
      </c>
      <c r="N305" s="17">
        <f ca="1">COUNTIFS('Tracking Sheet'!$AM$5:$AM$504,Calculations!M305,'Tracking Sheet'!$AV$5:$AV$504,"Quarter 4",'Tracking Sheet'!$AY$5:$AY$504,Calculations!$K$1)</f>
        <v>0</v>
      </c>
    </row>
    <row r="306" spans="1:14" ht="15.75" customHeight="1">
      <c r="A306" s="17" t="s">
        <v>498</v>
      </c>
      <c r="B306" s="17">
        <f>COUNTIFS('Tracking Sheet'!$D$5:$D$504,A306,'Tracking Sheet'!$AL$5:$AL$504,"active")</f>
        <v>0</v>
      </c>
      <c r="C306" s="29"/>
      <c r="F306" s="17" t="s">
        <v>26</v>
      </c>
      <c r="G306" s="17" t="str">
        <f>'Demographic Descriptions'!M18</f>
        <v>Position 16</v>
      </c>
      <c r="H306" s="17">
        <f ca="1">COUNTIFS('Tracking Sheet'!$AM$5:$AM$504,Calculations!G306,'Tracking Sheet'!$AI$5:$AI$504,"Quarter 4",'Tracking Sheet'!$AX$5:$AX$504,Calculations!$K$1)</f>
        <v>0</v>
      </c>
      <c r="L306" s="17" t="s">
        <v>26</v>
      </c>
      <c r="M306" s="17" t="str">
        <f>'Demographic Descriptions'!M18</f>
        <v>Position 16</v>
      </c>
      <c r="N306" s="17">
        <f ca="1">COUNTIFS('Tracking Sheet'!$AM$5:$AM$504,Calculations!M306,'Tracking Sheet'!$AV$5:$AV$504,"Quarter 4",'Tracking Sheet'!$AY$5:$AY$504,Calculations!$K$1)</f>
        <v>0</v>
      </c>
    </row>
    <row r="307" spans="1:14" ht="15.75" customHeight="1">
      <c r="A307" s="17" t="s">
        <v>500</v>
      </c>
      <c r="B307" s="17">
        <f>COUNTIFS('Tracking Sheet'!$D$5:$D$504,A307,'Tracking Sheet'!$AL$5:$AL$504,"active")</f>
        <v>0</v>
      </c>
      <c r="C307" s="29"/>
      <c r="F307" s="17" t="s">
        <v>26</v>
      </c>
      <c r="G307" s="17" t="str">
        <f>'Demographic Descriptions'!M19</f>
        <v>Position 17</v>
      </c>
      <c r="H307" s="17">
        <f ca="1">COUNTIFS('Tracking Sheet'!$AM$5:$AM$504,Calculations!G307,'Tracking Sheet'!$AI$5:$AI$504,"Quarter 4",'Tracking Sheet'!$AX$5:$AX$504,Calculations!$K$1)</f>
        <v>0</v>
      </c>
      <c r="L307" s="17" t="s">
        <v>26</v>
      </c>
      <c r="M307" s="17" t="str">
        <f>'Demographic Descriptions'!M19</f>
        <v>Position 17</v>
      </c>
      <c r="N307" s="17">
        <f ca="1">COUNTIFS('Tracking Sheet'!$AM$5:$AM$504,Calculations!M307,'Tracking Sheet'!$AV$5:$AV$504,"Quarter 4",'Tracking Sheet'!$AY$5:$AY$504,Calculations!$K$1)</f>
        <v>0</v>
      </c>
    </row>
    <row r="308" spans="1:14" ht="15.75" customHeight="1">
      <c r="A308" s="17" t="s">
        <v>502</v>
      </c>
      <c r="B308" s="17">
        <f>COUNTIFS('Tracking Sheet'!$D$5:$D$504,A308,'Tracking Sheet'!$AL$5:$AL$504,"active")</f>
        <v>0</v>
      </c>
      <c r="C308" s="29"/>
      <c r="F308" s="17" t="s">
        <v>26</v>
      </c>
      <c r="G308" s="17" t="str">
        <f>'Demographic Descriptions'!M20</f>
        <v>Position 18</v>
      </c>
      <c r="H308" s="17">
        <f ca="1">COUNTIFS('Tracking Sheet'!$AM$5:$AM$504,Calculations!G308,'Tracking Sheet'!$AI$5:$AI$504,"Quarter 4",'Tracking Sheet'!$AX$5:$AX$504,Calculations!$K$1)</f>
        <v>0</v>
      </c>
      <c r="L308" s="17" t="s">
        <v>26</v>
      </c>
      <c r="M308" s="17" t="str">
        <f>'Demographic Descriptions'!M20</f>
        <v>Position 18</v>
      </c>
      <c r="N308" s="17">
        <f ca="1">COUNTIFS('Tracking Sheet'!$AM$5:$AM$504,Calculations!M308,'Tracking Sheet'!$AV$5:$AV$504,"Quarter 4",'Tracking Sheet'!$AY$5:$AY$504,Calculations!$K$1)</f>
        <v>0</v>
      </c>
    </row>
    <row r="309" spans="1:14" ht="15.75" customHeight="1">
      <c r="A309" s="17" t="s">
        <v>505</v>
      </c>
      <c r="B309" s="17">
        <f>COUNTIFS('Tracking Sheet'!$D$5:$D$504,A309,'Tracking Sheet'!$AL$5:$AL$504,"active")</f>
        <v>0</v>
      </c>
      <c r="C309" s="29"/>
      <c r="F309" s="17" t="s">
        <v>26</v>
      </c>
      <c r="G309" s="17" t="str">
        <f>'Demographic Descriptions'!M21</f>
        <v>Position 19</v>
      </c>
      <c r="H309" s="17">
        <f ca="1">COUNTIFS('Tracking Sheet'!$AM$5:$AM$504,Calculations!G309,'Tracking Sheet'!$AI$5:$AI$504,"Quarter 4",'Tracking Sheet'!$AX$5:$AX$504,Calculations!$K$1)</f>
        <v>0</v>
      </c>
      <c r="L309" s="17" t="s">
        <v>26</v>
      </c>
      <c r="M309" s="17" t="str">
        <f>'Demographic Descriptions'!M21</f>
        <v>Position 19</v>
      </c>
      <c r="N309" s="17">
        <f ca="1">COUNTIFS('Tracking Sheet'!$AM$5:$AM$504,Calculations!M309,'Tracking Sheet'!$AV$5:$AV$504,"Quarter 4",'Tracking Sheet'!$AY$5:$AY$504,Calculations!$K$1)</f>
        <v>0</v>
      </c>
    </row>
    <row r="310" spans="1:14" ht="15.75" customHeight="1">
      <c r="A310" s="17" t="s">
        <v>508</v>
      </c>
      <c r="B310" s="17">
        <f>COUNTIFS('Tracking Sheet'!$D$5:$D$504,A310,'Tracking Sheet'!$AL$5:$AL$504,"active")</f>
        <v>0</v>
      </c>
      <c r="C310" s="29"/>
      <c r="F310" s="17" t="s">
        <v>26</v>
      </c>
      <c r="G310" s="17" t="str">
        <f>'Demographic Descriptions'!M22</f>
        <v>Position 20</v>
      </c>
      <c r="H310" s="17">
        <f ca="1">COUNTIFS('Tracking Sheet'!$AM$5:$AM$504,Calculations!G310,'Tracking Sheet'!$AI$5:$AI$504,"Quarter 4",'Tracking Sheet'!$AX$5:$AX$504,Calculations!$K$1)</f>
        <v>0</v>
      </c>
      <c r="L310" s="17" t="s">
        <v>26</v>
      </c>
      <c r="M310" s="17" t="str">
        <f>'Demographic Descriptions'!M22</f>
        <v>Position 20</v>
      </c>
      <c r="N310" s="17">
        <f ca="1">COUNTIFS('Tracking Sheet'!$AM$5:$AM$504,Calculations!M310,'Tracking Sheet'!$AV$5:$AV$504,"Quarter 4",'Tracking Sheet'!$AY$5:$AY$504,Calculations!$K$1)</f>
        <v>0</v>
      </c>
    </row>
    <row r="311" spans="1:14" ht="15.75" customHeight="1">
      <c r="A311" s="17" t="s">
        <v>892</v>
      </c>
      <c r="B311" s="17">
        <f>COUNTIFS('Tracking Sheet'!$D$5:$D$504,A311,'Tracking Sheet'!$AL$5:$AL$504,"active")</f>
        <v>0</v>
      </c>
      <c r="C311" s="29"/>
      <c r="F311" s="17" t="s">
        <v>26</v>
      </c>
      <c r="G311" s="17" t="str">
        <f>'Demographic Descriptions'!M23</f>
        <v>Position 21</v>
      </c>
      <c r="H311" s="17">
        <f ca="1">COUNTIFS('Tracking Sheet'!$AM$5:$AM$504,Calculations!G311,'Tracking Sheet'!$AI$5:$AI$504,"Quarter 4",'Tracking Sheet'!$AX$5:$AX$504,Calculations!$K$1)</f>
        <v>0</v>
      </c>
      <c r="L311" s="17" t="s">
        <v>26</v>
      </c>
      <c r="M311" s="17" t="str">
        <f>'Demographic Descriptions'!M23</f>
        <v>Position 21</v>
      </c>
      <c r="N311" s="17">
        <f ca="1">COUNTIFS('Tracking Sheet'!$AM$5:$AM$504,Calculations!M311,'Tracking Sheet'!$AV$5:$AV$504,"Quarter 4",'Tracking Sheet'!$AY$5:$AY$504,Calculations!$K$1)</f>
        <v>0</v>
      </c>
    </row>
    <row r="312" spans="1:14" ht="15.75" customHeight="1">
      <c r="A312" s="17" t="s">
        <v>238</v>
      </c>
      <c r="B312" s="17">
        <f>COUNTIFS('Tracking Sheet'!$D$5:$D$504,A312,'Tracking Sheet'!$AL$5:$AL$504,"active")</f>
        <v>1</v>
      </c>
      <c r="C312" s="29"/>
      <c r="F312" s="17" t="s">
        <v>26</v>
      </c>
      <c r="G312" s="17" t="str">
        <f>'Demographic Descriptions'!M24</f>
        <v>Position 22</v>
      </c>
      <c r="H312" s="17">
        <f ca="1">COUNTIFS('Tracking Sheet'!$AM$5:$AM$504,Calculations!G312,'Tracking Sheet'!$AI$5:$AI$504,"Quarter 4",'Tracking Sheet'!$AX$5:$AX$504,Calculations!$K$1)</f>
        <v>0</v>
      </c>
      <c r="L312" s="17" t="s">
        <v>26</v>
      </c>
      <c r="M312" s="17" t="str">
        <f>'Demographic Descriptions'!M24</f>
        <v>Position 22</v>
      </c>
      <c r="N312" s="17">
        <f ca="1">COUNTIFS('Tracking Sheet'!$AM$5:$AM$504,Calculations!M312,'Tracking Sheet'!$AV$5:$AV$504,"Quarter 4",'Tracking Sheet'!$AY$5:$AY$504,Calculations!$K$1)</f>
        <v>0</v>
      </c>
    </row>
    <row r="313" spans="1:14" ht="15.75" customHeight="1">
      <c r="A313" s="17" t="s">
        <v>515</v>
      </c>
      <c r="B313" s="17">
        <f>COUNTIFS('Tracking Sheet'!$D$5:$D$504,A313,'Tracking Sheet'!$AL$5:$AL$504,"active")</f>
        <v>0</v>
      </c>
      <c r="C313" s="29"/>
      <c r="F313" s="17" t="s">
        <v>26</v>
      </c>
      <c r="G313" s="17" t="str">
        <f>'Demographic Descriptions'!M25</f>
        <v>Position 23</v>
      </c>
      <c r="H313" s="17">
        <f ca="1">COUNTIFS('Tracking Sheet'!$AM$5:$AM$504,Calculations!G313,'Tracking Sheet'!$AI$5:$AI$504,"Quarter 4",'Tracking Sheet'!$AX$5:$AX$504,Calculations!$K$1)</f>
        <v>0</v>
      </c>
      <c r="L313" s="17" t="s">
        <v>26</v>
      </c>
      <c r="M313" s="17" t="str">
        <f>'Demographic Descriptions'!M25</f>
        <v>Position 23</v>
      </c>
      <c r="N313" s="17">
        <f ca="1">COUNTIFS('Tracking Sheet'!$AM$5:$AM$504,Calculations!M313,'Tracking Sheet'!$AV$5:$AV$504,"Quarter 4",'Tracking Sheet'!$AY$5:$AY$504,Calculations!$K$1)</f>
        <v>0</v>
      </c>
    </row>
    <row r="314" spans="1:14" ht="15.75" customHeight="1">
      <c r="A314" s="17" t="s">
        <v>518</v>
      </c>
      <c r="B314" s="17">
        <f>COUNTIFS('Tracking Sheet'!$D$5:$D$504,A314,'Tracking Sheet'!$AL$5:$AL$504,"active")</f>
        <v>0</v>
      </c>
      <c r="C314" s="29"/>
      <c r="F314" s="17" t="s">
        <v>26</v>
      </c>
      <c r="G314" s="17" t="str">
        <f>'Demographic Descriptions'!M26</f>
        <v>Position 24</v>
      </c>
      <c r="H314" s="17">
        <f ca="1">COUNTIFS('Tracking Sheet'!$AM$5:$AM$504,Calculations!G314,'Tracking Sheet'!$AI$5:$AI$504,"Quarter 4",'Tracking Sheet'!$AX$5:$AX$504,Calculations!$K$1)</f>
        <v>0</v>
      </c>
      <c r="L314" s="17" t="s">
        <v>26</v>
      </c>
      <c r="M314" s="17" t="str">
        <f>'Demographic Descriptions'!M26</f>
        <v>Position 24</v>
      </c>
      <c r="N314" s="17">
        <f ca="1">COUNTIFS('Tracking Sheet'!$AM$5:$AM$504,Calculations!M314,'Tracking Sheet'!$AV$5:$AV$504,"Quarter 4",'Tracking Sheet'!$AY$5:$AY$504,Calculations!$K$1)</f>
        <v>0</v>
      </c>
    </row>
    <row r="315" spans="1:14" ht="15.75" customHeight="1">
      <c r="A315" s="17" t="s">
        <v>521</v>
      </c>
      <c r="B315" s="17">
        <f>COUNTIFS('Tracking Sheet'!$D$5:$D$504,A315,'Tracking Sheet'!$AL$5:$AL$504,"active")</f>
        <v>0</v>
      </c>
      <c r="C315" s="29"/>
      <c r="F315" s="17" t="s">
        <v>26</v>
      </c>
      <c r="G315" s="17" t="str">
        <f>'Demographic Descriptions'!M27</f>
        <v>Position 25</v>
      </c>
      <c r="H315" s="17">
        <f ca="1">COUNTIFS('Tracking Sheet'!$AM$5:$AM$504,Calculations!G315,'Tracking Sheet'!$AI$5:$AI$504,"Quarter 4",'Tracking Sheet'!$AX$5:$AX$504,Calculations!$K$1)</f>
        <v>0</v>
      </c>
      <c r="L315" s="17" t="s">
        <v>26</v>
      </c>
      <c r="M315" s="17" t="str">
        <f>'Demographic Descriptions'!M27</f>
        <v>Position 25</v>
      </c>
      <c r="N315" s="17">
        <f ca="1">COUNTIFS('Tracking Sheet'!$AM$5:$AM$504,Calculations!M315,'Tracking Sheet'!$AV$5:$AV$504,"Quarter 4",'Tracking Sheet'!$AY$5:$AY$504,Calculations!$K$1)</f>
        <v>0</v>
      </c>
    </row>
    <row r="316" spans="1:14" ht="15.75" customHeight="1">
      <c r="A316" s="17" t="s">
        <v>524</v>
      </c>
      <c r="B316" s="17">
        <f>COUNTIFS('Tracking Sheet'!$D$5:$D$504,A316,'Tracking Sheet'!$AL$5:$AL$504,"active")</f>
        <v>0</v>
      </c>
      <c r="C316" s="29"/>
      <c r="F316" s="17" t="s">
        <v>26</v>
      </c>
      <c r="G316" s="17" t="str">
        <f>'Demographic Descriptions'!M28</f>
        <v>Position 26</v>
      </c>
      <c r="H316" s="17">
        <f ca="1">COUNTIFS('Tracking Sheet'!$AM$5:$AM$504,Calculations!G316,'Tracking Sheet'!$AI$5:$AI$504,"Quarter 4",'Tracking Sheet'!$AX$5:$AX$504,Calculations!$K$1)</f>
        <v>0</v>
      </c>
      <c r="L316" s="17" t="s">
        <v>26</v>
      </c>
      <c r="M316" s="17" t="str">
        <f>'Demographic Descriptions'!M28</f>
        <v>Position 26</v>
      </c>
      <c r="N316" s="17">
        <f ca="1">COUNTIFS('Tracking Sheet'!$AM$5:$AM$504,Calculations!M316,'Tracking Sheet'!$AV$5:$AV$504,"Quarter 4",'Tracking Sheet'!$AY$5:$AY$504,Calculations!$K$1)</f>
        <v>0</v>
      </c>
    </row>
    <row r="317" spans="1:14" ht="15.75" customHeight="1">
      <c r="A317" s="17" t="s">
        <v>526</v>
      </c>
      <c r="B317" s="17">
        <f>COUNTIFS('Tracking Sheet'!$D$5:$D$504,A317,'Tracking Sheet'!$AL$5:$AL$504,"active")</f>
        <v>0</v>
      </c>
      <c r="C317" s="29"/>
      <c r="F317" s="17" t="s">
        <v>26</v>
      </c>
      <c r="G317" s="17" t="str">
        <f>'Demographic Descriptions'!M29</f>
        <v>Position 27</v>
      </c>
      <c r="H317" s="17">
        <f ca="1">COUNTIFS('Tracking Sheet'!$AM$5:$AM$504,Calculations!G317,'Tracking Sheet'!$AI$5:$AI$504,"Quarter 4",'Tracking Sheet'!$AX$5:$AX$504,Calculations!$K$1)</f>
        <v>0</v>
      </c>
      <c r="L317" s="17" t="s">
        <v>26</v>
      </c>
      <c r="M317" s="17" t="str">
        <f>'Demographic Descriptions'!M29</f>
        <v>Position 27</v>
      </c>
      <c r="N317" s="17">
        <f ca="1">COUNTIFS('Tracking Sheet'!$AM$5:$AM$504,Calculations!M317,'Tracking Sheet'!$AV$5:$AV$504,"Quarter 4",'Tracking Sheet'!$AY$5:$AY$504,Calculations!$K$1)</f>
        <v>0</v>
      </c>
    </row>
    <row r="318" spans="1:14" ht="15.75" customHeight="1">
      <c r="A318" s="17" t="s">
        <v>528</v>
      </c>
      <c r="B318" s="17">
        <f>COUNTIFS('Tracking Sheet'!$D$5:$D$504,A318,'Tracking Sheet'!$AL$5:$AL$504,"active")</f>
        <v>0</v>
      </c>
      <c r="C318" s="29"/>
      <c r="F318" s="17" t="s">
        <v>26</v>
      </c>
      <c r="G318" s="17" t="str">
        <f>'Demographic Descriptions'!M30</f>
        <v>Position 28</v>
      </c>
      <c r="H318" s="17">
        <f ca="1">COUNTIFS('Tracking Sheet'!$AM$5:$AM$504,Calculations!G318,'Tracking Sheet'!$AI$5:$AI$504,"Quarter 4",'Tracking Sheet'!$AX$5:$AX$504,Calculations!$K$1)</f>
        <v>0</v>
      </c>
      <c r="L318" s="17" t="s">
        <v>26</v>
      </c>
      <c r="M318" s="17" t="str">
        <f>'Demographic Descriptions'!M30</f>
        <v>Position 28</v>
      </c>
      <c r="N318" s="17">
        <f ca="1">COUNTIFS('Tracking Sheet'!$AM$5:$AM$504,Calculations!M318,'Tracking Sheet'!$AV$5:$AV$504,"Quarter 4",'Tracking Sheet'!$AY$5:$AY$504,Calculations!$K$1)</f>
        <v>0</v>
      </c>
    </row>
    <row r="319" spans="1:14" ht="15.75" customHeight="1">
      <c r="A319" s="17" t="s">
        <v>531</v>
      </c>
      <c r="B319" s="17">
        <f>COUNTIFS('Tracking Sheet'!$D$5:$D$504,A319,'Tracking Sheet'!$AL$5:$AL$504,"active")</f>
        <v>0</v>
      </c>
      <c r="C319" s="29"/>
      <c r="F319" s="17" t="s">
        <v>26</v>
      </c>
      <c r="G319" s="17" t="str">
        <f>'Demographic Descriptions'!M31</f>
        <v>Position 29</v>
      </c>
      <c r="H319" s="17">
        <f ca="1">COUNTIFS('Tracking Sheet'!$AM$5:$AM$504,Calculations!G319,'Tracking Sheet'!$AI$5:$AI$504,"Quarter 4",'Tracking Sheet'!$AX$5:$AX$504,Calculations!$K$1)</f>
        <v>0</v>
      </c>
      <c r="L319" s="17" t="s">
        <v>26</v>
      </c>
      <c r="M319" s="17" t="str">
        <f>'Demographic Descriptions'!M31</f>
        <v>Position 29</v>
      </c>
      <c r="N319" s="17">
        <f ca="1">COUNTIFS('Tracking Sheet'!$AM$5:$AM$504,Calculations!M319,'Tracking Sheet'!$AV$5:$AV$504,"Quarter 4",'Tracking Sheet'!$AY$5:$AY$504,Calculations!$K$1)</f>
        <v>0</v>
      </c>
    </row>
    <row r="320" spans="1:14" ht="15.75" customHeight="1">
      <c r="A320" s="17" t="s">
        <v>533</v>
      </c>
      <c r="B320" s="17">
        <f>COUNTIFS('Tracking Sheet'!$D$5:$D$504,A320,'Tracking Sheet'!$AL$5:$AL$504,"active")</f>
        <v>0</v>
      </c>
      <c r="C320" s="29"/>
      <c r="F320" s="17" t="s">
        <v>26</v>
      </c>
      <c r="G320" s="17" t="str">
        <f>'Demographic Descriptions'!M32</f>
        <v>Position 30</v>
      </c>
      <c r="H320" s="17">
        <f ca="1">COUNTIFS('Tracking Sheet'!$AM$5:$AM$504,Calculations!G320,'Tracking Sheet'!$AI$5:$AI$504,"Quarter 4",'Tracking Sheet'!$AX$5:$AX$504,Calculations!$K$1)</f>
        <v>0</v>
      </c>
      <c r="L320" s="17" t="s">
        <v>26</v>
      </c>
      <c r="M320" s="17" t="str">
        <f>'Demographic Descriptions'!M32</f>
        <v>Position 30</v>
      </c>
      <c r="N320" s="17">
        <f ca="1">COUNTIFS('Tracking Sheet'!$AM$5:$AM$504,Calculations!M320,'Tracking Sheet'!$AV$5:$AV$504,"Quarter 4",'Tracking Sheet'!$AY$5:$AY$504,Calculations!$K$1)</f>
        <v>0</v>
      </c>
    </row>
    <row r="321" spans="1:14" ht="15.75" customHeight="1">
      <c r="A321" s="17" t="s">
        <v>536</v>
      </c>
      <c r="B321" s="17">
        <f>COUNTIFS('Tracking Sheet'!$D$5:$D$504,A321,'Tracking Sheet'!$AL$5:$AL$504,"active")</f>
        <v>0</v>
      </c>
      <c r="C321" s="29"/>
      <c r="F321" s="17" t="s">
        <v>26</v>
      </c>
      <c r="G321" s="17" t="str">
        <f>'Demographic Descriptions'!M33</f>
        <v>Position 31</v>
      </c>
      <c r="H321" s="17">
        <f ca="1">COUNTIFS('Tracking Sheet'!$AM$5:$AM$504,Calculations!G321,'Tracking Sheet'!$AI$5:$AI$504,"Quarter 4",'Tracking Sheet'!$AX$5:$AX$504,Calculations!$K$1)</f>
        <v>0</v>
      </c>
      <c r="L321" s="17" t="s">
        <v>26</v>
      </c>
      <c r="M321" s="17" t="str">
        <f>'Demographic Descriptions'!M33</f>
        <v>Position 31</v>
      </c>
      <c r="N321" s="17">
        <f ca="1">COUNTIFS('Tracking Sheet'!$AM$5:$AM$504,Calculations!M321,'Tracking Sheet'!$AV$5:$AV$504,"Quarter 4",'Tracking Sheet'!$AY$5:$AY$504,Calculations!$K$1)</f>
        <v>0</v>
      </c>
    </row>
    <row r="322" spans="1:14" ht="15.75" customHeight="1">
      <c r="A322" s="17" t="s">
        <v>539</v>
      </c>
      <c r="B322" s="17">
        <f>COUNTIFS('Tracking Sheet'!$D$5:$D$504,A322,'Tracking Sheet'!$AL$5:$AL$504,"active")</f>
        <v>0</v>
      </c>
      <c r="C322" s="29"/>
      <c r="F322" s="17" t="s">
        <v>26</v>
      </c>
      <c r="G322" s="17" t="str">
        <f>'Demographic Descriptions'!M34</f>
        <v>Position 32</v>
      </c>
      <c r="H322" s="17">
        <f ca="1">COUNTIFS('Tracking Sheet'!$AM$5:$AM$504,Calculations!G322,'Tracking Sheet'!$AI$5:$AI$504,"Quarter 4",'Tracking Sheet'!$AX$5:$AX$504,Calculations!$K$1)</f>
        <v>0</v>
      </c>
      <c r="L322" s="17" t="s">
        <v>26</v>
      </c>
      <c r="M322" s="17" t="str">
        <f>'Demographic Descriptions'!M34</f>
        <v>Position 32</v>
      </c>
      <c r="N322" s="17">
        <f ca="1">COUNTIFS('Tracking Sheet'!$AM$5:$AM$504,Calculations!M322,'Tracking Sheet'!$AV$5:$AV$504,"Quarter 4",'Tracking Sheet'!$AY$5:$AY$504,Calculations!$K$1)</f>
        <v>0</v>
      </c>
    </row>
    <row r="323" spans="1:14" ht="15.75" customHeight="1">
      <c r="A323" s="17" t="s">
        <v>542</v>
      </c>
      <c r="B323" s="17">
        <f>COUNTIFS('Tracking Sheet'!$D$5:$D$504,A323,'Tracking Sheet'!$AL$5:$AL$504,"active")</f>
        <v>0</v>
      </c>
      <c r="C323" s="29"/>
      <c r="F323" s="17" t="s">
        <v>26</v>
      </c>
      <c r="G323" s="17" t="str">
        <f>'Demographic Descriptions'!M35</f>
        <v>Position 33</v>
      </c>
      <c r="H323" s="17">
        <f ca="1">COUNTIFS('Tracking Sheet'!$AM$5:$AM$504,Calculations!G323,'Tracking Sheet'!$AI$5:$AI$504,"Quarter 4",'Tracking Sheet'!$AX$5:$AX$504,Calculations!$K$1)</f>
        <v>0</v>
      </c>
      <c r="L323" s="17" t="s">
        <v>26</v>
      </c>
      <c r="M323" s="17" t="str">
        <f>'Demographic Descriptions'!M35</f>
        <v>Position 33</v>
      </c>
      <c r="N323" s="17">
        <f ca="1">COUNTIFS('Tracking Sheet'!$AM$5:$AM$504,Calculations!M323,'Tracking Sheet'!$AV$5:$AV$504,"Quarter 4",'Tracking Sheet'!$AY$5:$AY$504,Calculations!$K$1)</f>
        <v>0</v>
      </c>
    </row>
    <row r="324" spans="1:14" ht="15.75" customHeight="1">
      <c r="A324" s="17" t="s">
        <v>544</v>
      </c>
      <c r="B324" s="17">
        <f>COUNTIFS('Tracking Sheet'!$D$5:$D$504,A324,'Tracking Sheet'!$AL$5:$AL$504,"active")</f>
        <v>0</v>
      </c>
      <c r="C324" s="29"/>
      <c r="F324" s="17" t="s">
        <v>26</v>
      </c>
      <c r="G324" s="17" t="str">
        <f>'Demographic Descriptions'!M36</f>
        <v>Position 34</v>
      </c>
      <c r="H324" s="17">
        <f ca="1">COUNTIFS('Tracking Sheet'!$AM$5:$AM$504,Calculations!G324,'Tracking Sheet'!$AI$5:$AI$504,"Quarter 4",'Tracking Sheet'!$AX$5:$AX$504,Calculations!$K$1)</f>
        <v>0</v>
      </c>
      <c r="L324" s="17" t="s">
        <v>26</v>
      </c>
      <c r="M324" s="17" t="str">
        <f>'Demographic Descriptions'!M36</f>
        <v>Position 34</v>
      </c>
      <c r="N324" s="17">
        <f ca="1">COUNTIFS('Tracking Sheet'!$AM$5:$AM$504,Calculations!M324,'Tracking Sheet'!$AV$5:$AV$504,"Quarter 4",'Tracking Sheet'!$AY$5:$AY$504,Calculations!$K$1)</f>
        <v>0</v>
      </c>
    </row>
    <row r="325" spans="1:14" ht="15.75" customHeight="1">
      <c r="A325" s="17" t="s">
        <v>545</v>
      </c>
      <c r="B325" s="17">
        <f>COUNTIFS('Tracking Sheet'!$D$5:$D$504,A325,'Tracking Sheet'!$AL$5:$AL$504,"active")</f>
        <v>0</v>
      </c>
      <c r="C325" s="29"/>
      <c r="F325" s="17" t="s">
        <v>26</v>
      </c>
      <c r="G325" s="17" t="str">
        <f>'Demographic Descriptions'!M37</f>
        <v>Position 35</v>
      </c>
      <c r="H325" s="17">
        <f ca="1">COUNTIFS('Tracking Sheet'!$AM$5:$AM$504,Calculations!G325,'Tracking Sheet'!$AI$5:$AI$504,"Quarter 4",'Tracking Sheet'!$AX$5:$AX$504,Calculations!$K$1)</f>
        <v>0</v>
      </c>
      <c r="L325" s="17" t="s">
        <v>26</v>
      </c>
      <c r="M325" s="17" t="str">
        <f>'Demographic Descriptions'!M37</f>
        <v>Position 35</v>
      </c>
      <c r="N325" s="17">
        <f ca="1">COUNTIFS('Tracking Sheet'!$AM$5:$AM$504,Calculations!M325,'Tracking Sheet'!$AV$5:$AV$504,"Quarter 4",'Tracking Sheet'!$AY$5:$AY$504,Calculations!$K$1)</f>
        <v>0</v>
      </c>
    </row>
    <row r="326" spans="1:14" ht="15.75" customHeight="1">
      <c r="A326" s="17" t="s">
        <v>243</v>
      </c>
      <c r="B326" s="17">
        <f>COUNTIFS('Tracking Sheet'!$D$5:$D$504,A326,'Tracking Sheet'!$AL$5:$AL$504,"active")</f>
        <v>2</v>
      </c>
      <c r="C326" s="29"/>
      <c r="F326" s="17" t="s">
        <v>26</v>
      </c>
      <c r="G326" s="17" t="str">
        <f>'Demographic Descriptions'!M38</f>
        <v>Position 36</v>
      </c>
      <c r="H326" s="17">
        <f ca="1">COUNTIFS('Tracking Sheet'!$AM$5:$AM$504,Calculations!G326,'Tracking Sheet'!$AI$5:$AI$504,"Quarter 4",'Tracking Sheet'!$AX$5:$AX$504,Calculations!$K$1)</f>
        <v>0</v>
      </c>
      <c r="L326" s="17" t="s">
        <v>26</v>
      </c>
      <c r="M326" s="17" t="str">
        <f>'Demographic Descriptions'!M38</f>
        <v>Position 36</v>
      </c>
      <c r="N326" s="17">
        <f ca="1">COUNTIFS('Tracking Sheet'!$AM$5:$AM$504,Calculations!M326,'Tracking Sheet'!$AV$5:$AV$504,"Quarter 4",'Tracking Sheet'!$AY$5:$AY$504,Calculations!$K$1)</f>
        <v>0</v>
      </c>
    </row>
    <row r="327" spans="1:14" ht="15.75" customHeight="1">
      <c r="A327" s="17" t="s">
        <v>549</v>
      </c>
      <c r="B327" s="17">
        <f>COUNTIFS('Tracking Sheet'!$D$5:$D$504,A327,'Tracking Sheet'!$AL$5:$AL$504,"active")</f>
        <v>0</v>
      </c>
      <c r="C327" s="29"/>
      <c r="F327" s="17" t="s">
        <v>26</v>
      </c>
      <c r="G327" s="17" t="str">
        <f>'Demographic Descriptions'!M39</f>
        <v>Position 37</v>
      </c>
      <c r="H327" s="17">
        <f ca="1">COUNTIFS('Tracking Sheet'!$AM$5:$AM$504,Calculations!G327,'Tracking Sheet'!$AI$5:$AI$504,"Quarter 4",'Tracking Sheet'!$AX$5:$AX$504,Calculations!$K$1)</f>
        <v>0</v>
      </c>
      <c r="L327" s="17" t="s">
        <v>26</v>
      </c>
      <c r="M327" s="17" t="str">
        <f>'Demographic Descriptions'!M39</f>
        <v>Position 37</v>
      </c>
      <c r="N327" s="17">
        <f ca="1">COUNTIFS('Tracking Sheet'!$AM$5:$AM$504,Calculations!M327,'Tracking Sheet'!$AV$5:$AV$504,"Quarter 4",'Tracking Sheet'!$AY$5:$AY$504,Calculations!$K$1)</f>
        <v>0</v>
      </c>
    </row>
    <row r="328" spans="1:14" ht="15.75" customHeight="1">
      <c r="A328" s="17" t="s">
        <v>552</v>
      </c>
      <c r="B328" s="17">
        <f>COUNTIFS('Tracking Sheet'!$D$5:$D$504,A328,'Tracking Sheet'!$AL$5:$AL$504,"active")</f>
        <v>0</v>
      </c>
      <c r="C328" s="29"/>
      <c r="F328" s="17" t="s">
        <v>26</v>
      </c>
      <c r="G328" s="17" t="str">
        <f>'Demographic Descriptions'!M40</f>
        <v>Position 38</v>
      </c>
      <c r="H328" s="17">
        <f ca="1">COUNTIFS('Tracking Sheet'!$AM$5:$AM$504,Calculations!G328,'Tracking Sheet'!$AI$5:$AI$504,"Quarter 4",'Tracking Sheet'!$AX$5:$AX$504,Calculations!$K$1)</f>
        <v>0</v>
      </c>
      <c r="L328" s="17" t="s">
        <v>26</v>
      </c>
      <c r="M328" s="17" t="str">
        <f>'Demographic Descriptions'!M40</f>
        <v>Position 38</v>
      </c>
      <c r="N328" s="17">
        <f ca="1">COUNTIFS('Tracking Sheet'!$AM$5:$AM$504,Calculations!M328,'Tracking Sheet'!$AV$5:$AV$504,"Quarter 4",'Tracking Sheet'!$AY$5:$AY$504,Calculations!$K$1)</f>
        <v>0</v>
      </c>
    </row>
    <row r="329" spans="1:14" ht="15.75" customHeight="1">
      <c r="A329" s="17" t="s">
        <v>555</v>
      </c>
      <c r="B329" s="17">
        <f>COUNTIFS('Tracking Sheet'!$D$5:$D$504,A329,'Tracking Sheet'!$AL$5:$AL$504,"active")</f>
        <v>0</v>
      </c>
      <c r="C329" s="29"/>
      <c r="F329" s="17" t="s">
        <v>26</v>
      </c>
      <c r="G329" s="17" t="str">
        <f>'Demographic Descriptions'!M41</f>
        <v>Position 39</v>
      </c>
      <c r="H329" s="17">
        <f ca="1">COUNTIFS('Tracking Sheet'!$AM$5:$AM$504,Calculations!G329,'Tracking Sheet'!$AI$5:$AI$504,"Quarter 4",'Tracking Sheet'!$AX$5:$AX$504,Calculations!$K$1)</f>
        <v>0</v>
      </c>
      <c r="L329" s="17" t="s">
        <v>26</v>
      </c>
      <c r="M329" s="17" t="str">
        <f>'Demographic Descriptions'!M41</f>
        <v>Position 39</v>
      </c>
      <c r="N329" s="17">
        <f ca="1">COUNTIFS('Tracking Sheet'!$AM$5:$AM$504,Calculations!M329,'Tracking Sheet'!$AV$5:$AV$504,"Quarter 4",'Tracking Sheet'!$AY$5:$AY$504,Calculations!$K$1)</f>
        <v>0</v>
      </c>
    </row>
    <row r="330" spans="1:14" ht="15.75" customHeight="1">
      <c r="A330" s="17" t="s">
        <v>557</v>
      </c>
      <c r="B330" s="17">
        <f>COUNTIFS('Tracking Sheet'!$D$5:$D$504,A330,'Tracking Sheet'!$AL$5:$AL$504,"active")</f>
        <v>0</v>
      </c>
      <c r="C330" s="29"/>
      <c r="F330" s="17" t="s">
        <v>26</v>
      </c>
      <c r="G330" s="17" t="str">
        <f>'Demographic Descriptions'!M42</f>
        <v>Position 40</v>
      </c>
      <c r="H330" s="17">
        <f ca="1">COUNTIFS('Tracking Sheet'!$AM$5:$AM$504,Calculations!G330,'Tracking Sheet'!$AI$5:$AI$504,"Quarter 4",'Tracking Sheet'!$AX$5:$AX$504,Calculations!$K$1)</f>
        <v>0</v>
      </c>
      <c r="L330" s="17" t="s">
        <v>26</v>
      </c>
      <c r="M330" s="17" t="str">
        <f>'Demographic Descriptions'!M42</f>
        <v>Position 40</v>
      </c>
      <c r="N330" s="17">
        <f ca="1">COUNTIFS('Tracking Sheet'!$AM$5:$AM$504,Calculations!M330,'Tracking Sheet'!$AV$5:$AV$504,"Quarter 4",'Tracking Sheet'!$AY$5:$AY$504,Calculations!$K$1)</f>
        <v>0</v>
      </c>
    </row>
    <row r="331" spans="1:14" ht="15.75" customHeight="1">
      <c r="A331" s="17" t="s">
        <v>560</v>
      </c>
      <c r="B331" s="17">
        <f>COUNTIFS('Tracking Sheet'!$D$5:$D$504,A331,'Tracking Sheet'!$AL$5:$AL$504,"active")</f>
        <v>0</v>
      </c>
      <c r="C331" s="29"/>
      <c r="F331" s="17" t="s">
        <v>26</v>
      </c>
      <c r="G331" s="17" t="str">
        <f>'Demographic Descriptions'!M43</f>
        <v>Position 41</v>
      </c>
      <c r="H331" s="17">
        <f ca="1">COUNTIFS('Tracking Sheet'!$AM$5:$AM$504,Calculations!G331,'Tracking Sheet'!$AI$5:$AI$504,"Quarter 4",'Tracking Sheet'!$AX$5:$AX$504,Calculations!$K$1)</f>
        <v>0</v>
      </c>
      <c r="L331" s="17" t="s">
        <v>26</v>
      </c>
      <c r="M331" s="17" t="str">
        <f>'Demographic Descriptions'!M43</f>
        <v>Position 41</v>
      </c>
      <c r="N331" s="17">
        <f ca="1">COUNTIFS('Tracking Sheet'!$AM$5:$AM$504,Calculations!M331,'Tracking Sheet'!$AV$5:$AV$504,"Quarter 4",'Tracking Sheet'!$AY$5:$AY$504,Calculations!$K$1)</f>
        <v>0</v>
      </c>
    </row>
    <row r="332" spans="1:14" ht="15.75" customHeight="1">
      <c r="A332" s="17" t="s">
        <v>563</v>
      </c>
      <c r="B332" s="17">
        <f>COUNTIFS('Tracking Sheet'!$D$5:$D$504,A332,'Tracking Sheet'!$AL$5:$AL$504,"active")</f>
        <v>0</v>
      </c>
      <c r="C332" s="29"/>
      <c r="F332" s="17" t="s">
        <v>26</v>
      </c>
      <c r="G332" s="17" t="str">
        <f>'Demographic Descriptions'!M44</f>
        <v>Position 42</v>
      </c>
      <c r="H332" s="17">
        <f ca="1">COUNTIFS('Tracking Sheet'!$AM$5:$AM$504,Calculations!G332,'Tracking Sheet'!$AI$5:$AI$504,"Quarter 4",'Tracking Sheet'!$AX$5:$AX$504,Calculations!$K$1)</f>
        <v>0</v>
      </c>
      <c r="L332" s="17" t="s">
        <v>26</v>
      </c>
      <c r="M332" s="17" t="str">
        <f>'Demographic Descriptions'!M44</f>
        <v>Position 42</v>
      </c>
      <c r="N332" s="17">
        <f ca="1">COUNTIFS('Tracking Sheet'!$AM$5:$AM$504,Calculations!M332,'Tracking Sheet'!$AV$5:$AV$504,"Quarter 4",'Tracking Sheet'!$AY$5:$AY$504,Calculations!$K$1)</f>
        <v>0</v>
      </c>
    </row>
    <row r="333" spans="1:14" ht="15.75" customHeight="1">
      <c r="A333" s="17" t="s">
        <v>565</v>
      </c>
      <c r="B333" s="17">
        <f>COUNTIFS('Tracking Sheet'!$D$5:$D$504,A333,'Tracking Sheet'!$AL$5:$AL$504,"active")</f>
        <v>0</v>
      </c>
      <c r="C333" s="29"/>
      <c r="F333" s="17" t="s">
        <v>26</v>
      </c>
      <c r="G333" s="17" t="str">
        <f>'Demographic Descriptions'!M45</f>
        <v>Position 43</v>
      </c>
      <c r="H333" s="17">
        <f ca="1">COUNTIFS('Tracking Sheet'!$AM$5:$AM$504,Calculations!G333,'Tracking Sheet'!$AI$5:$AI$504,"Quarter 4",'Tracking Sheet'!$AX$5:$AX$504,Calculations!$K$1)</f>
        <v>0</v>
      </c>
      <c r="L333" s="17" t="s">
        <v>26</v>
      </c>
      <c r="M333" s="17" t="str">
        <f>'Demographic Descriptions'!M45</f>
        <v>Position 43</v>
      </c>
      <c r="N333" s="17">
        <f ca="1">COUNTIFS('Tracking Sheet'!$AM$5:$AM$504,Calculations!M333,'Tracking Sheet'!$AV$5:$AV$504,"Quarter 4",'Tracking Sheet'!$AY$5:$AY$504,Calculations!$K$1)</f>
        <v>0</v>
      </c>
    </row>
    <row r="334" spans="1:14" ht="15.75" customHeight="1">
      <c r="A334" s="17" t="s">
        <v>568</v>
      </c>
      <c r="B334" s="17">
        <f>COUNTIFS('Tracking Sheet'!$D$5:$D$504,A334,'Tracking Sheet'!$AL$5:$AL$504,"active")</f>
        <v>0</v>
      </c>
      <c r="C334" s="29"/>
      <c r="F334" s="17" t="s">
        <v>26</v>
      </c>
      <c r="G334" s="17" t="str">
        <f>'Demographic Descriptions'!M46</f>
        <v>Position 44</v>
      </c>
      <c r="H334" s="17">
        <f ca="1">COUNTIFS('Tracking Sheet'!$AM$5:$AM$504,Calculations!G334,'Tracking Sheet'!$AI$5:$AI$504,"Quarter 4",'Tracking Sheet'!$AX$5:$AX$504,Calculations!$K$1)</f>
        <v>0</v>
      </c>
      <c r="L334" s="17" t="s">
        <v>26</v>
      </c>
      <c r="M334" s="17" t="str">
        <f>'Demographic Descriptions'!M46</f>
        <v>Position 44</v>
      </c>
      <c r="N334" s="17">
        <f ca="1">COUNTIFS('Tracking Sheet'!$AM$5:$AM$504,Calculations!M334,'Tracking Sheet'!$AV$5:$AV$504,"Quarter 4",'Tracking Sheet'!$AY$5:$AY$504,Calculations!$K$1)</f>
        <v>0</v>
      </c>
    </row>
    <row r="335" spans="1:14" ht="15.75" customHeight="1">
      <c r="A335" s="17" t="s">
        <v>571</v>
      </c>
      <c r="B335" s="17">
        <f>COUNTIFS('Tracking Sheet'!$D$5:$D$504,A335,'Tracking Sheet'!$AL$5:$AL$504,"active")</f>
        <v>0</v>
      </c>
      <c r="C335" s="29"/>
      <c r="F335" s="17" t="s">
        <v>26</v>
      </c>
      <c r="G335" s="17" t="str">
        <f>'Demographic Descriptions'!M47</f>
        <v>Position 45</v>
      </c>
      <c r="H335" s="17">
        <f ca="1">COUNTIFS('Tracking Sheet'!$AM$5:$AM$504,Calculations!G335,'Tracking Sheet'!$AI$5:$AI$504,"Quarter 4",'Tracking Sheet'!$AX$5:$AX$504,Calculations!$K$1)</f>
        <v>0</v>
      </c>
      <c r="L335" s="17" t="s">
        <v>26</v>
      </c>
      <c r="M335" s="17" t="str">
        <f>'Demographic Descriptions'!M47</f>
        <v>Position 45</v>
      </c>
      <c r="N335" s="17">
        <f ca="1">COUNTIFS('Tracking Sheet'!$AM$5:$AM$504,Calculations!M335,'Tracking Sheet'!$AV$5:$AV$504,"Quarter 4",'Tracking Sheet'!$AY$5:$AY$504,Calculations!$K$1)</f>
        <v>0</v>
      </c>
    </row>
    <row r="336" spans="1:14" ht="15.75" customHeight="1">
      <c r="A336" s="17" t="s">
        <v>574</v>
      </c>
      <c r="B336" s="17">
        <f>COUNTIFS('Tracking Sheet'!$D$5:$D$504,A336,'Tracking Sheet'!$AL$5:$AL$504,"active")</f>
        <v>0</v>
      </c>
      <c r="C336" s="29"/>
      <c r="F336" s="17" t="s">
        <v>26</v>
      </c>
      <c r="G336" s="17" t="str">
        <f>'Demographic Descriptions'!M48</f>
        <v>Position 46</v>
      </c>
      <c r="H336" s="17">
        <f ca="1">COUNTIFS('Tracking Sheet'!$AM$5:$AM$504,Calculations!G336,'Tracking Sheet'!$AI$5:$AI$504,"Quarter 4",'Tracking Sheet'!$AX$5:$AX$504,Calculations!$K$1)</f>
        <v>0</v>
      </c>
      <c r="L336" s="17" t="s">
        <v>26</v>
      </c>
      <c r="M336" s="17" t="str">
        <f>'Demographic Descriptions'!M48</f>
        <v>Position 46</v>
      </c>
      <c r="N336" s="17">
        <f ca="1">COUNTIFS('Tracking Sheet'!$AM$5:$AM$504,Calculations!M336,'Tracking Sheet'!$AV$5:$AV$504,"Quarter 4",'Tracking Sheet'!$AY$5:$AY$504,Calculations!$K$1)</f>
        <v>0</v>
      </c>
    </row>
    <row r="337" spans="1:14" ht="15.75" customHeight="1">
      <c r="A337" s="17" t="s">
        <v>577</v>
      </c>
      <c r="B337" s="17">
        <f>COUNTIFS('Tracking Sheet'!$D$5:$D$504,A337,'Tracking Sheet'!$AL$5:$AL$504,"active")</f>
        <v>0</v>
      </c>
      <c r="C337" s="29"/>
      <c r="F337" s="17" t="s">
        <v>26</v>
      </c>
      <c r="G337" s="17" t="str">
        <f>'Demographic Descriptions'!M49</f>
        <v>Position 47</v>
      </c>
      <c r="H337" s="17">
        <f ca="1">COUNTIFS('Tracking Sheet'!$AM$5:$AM$504,Calculations!G337,'Tracking Sheet'!$AI$5:$AI$504,"Quarter 4",'Tracking Sheet'!$AX$5:$AX$504,Calculations!$K$1)</f>
        <v>0</v>
      </c>
      <c r="L337" s="17" t="s">
        <v>26</v>
      </c>
      <c r="M337" s="17" t="str">
        <f>'Demographic Descriptions'!M49</f>
        <v>Position 47</v>
      </c>
      <c r="N337" s="17">
        <f ca="1">COUNTIFS('Tracking Sheet'!$AM$5:$AM$504,Calculations!M337,'Tracking Sheet'!$AV$5:$AV$504,"Quarter 4",'Tracking Sheet'!$AY$5:$AY$504,Calculations!$K$1)</f>
        <v>0</v>
      </c>
    </row>
    <row r="338" spans="1:14" ht="15.75" customHeight="1">
      <c r="A338" s="17" t="s">
        <v>580</v>
      </c>
      <c r="B338" s="17">
        <f>COUNTIFS('Tracking Sheet'!$D$5:$D$504,A338,'Tracking Sheet'!$AL$5:$AL$504,"active")</f>
        <v>0</v>
      </c>
      <c r="C338" s="29"/>
      <c r="F338" s="17" t="s">
        <v>26</v>
      </c>
      <c r="G338" s="17" t="str">
        <f>'Demographic Descriptions'!M50</f>
        <v>Position 48</v>
      </c>
      <c r="H338" s="17">
        <f ca="1">COUNTIFS('Tracking Sheet'!$AM$5:$AM$504,Calculations!G338,'Tracking Sheet'!$AI$5:$AI$504,"Quarter 4",'Tracking Sheet'!$AX$5:$AX$504,Calculations!$K$1)</f>
        <v>0</v>
      </c>
      <c r="L338" s="17" t="s">
        <v>26</v>
      </c>
      <c r="M338" s="17" t="str">
        <f>'Demographic Descriptions'!M50</f>
        <v>Position 48</v>
      </c>
      <c r="N338" s="17">
        <f ca="1">COUNTIFS('Tracking Sheet'!$AM$5:$AM$504,Calculations!M338,'Tracking Sheet'!$AV$5:$AV$504,"Quarter 4",'Tracking Sheet'!$AY$5:$AY$504,Calculations!$K$1)</f>
        <v>0</v>
      </c>
    </row>
    <row r="339" spans="1:14" ht="15.75" customHeight="1">
      <c r="A339" s="17" t="s">
        <v>583</v>
      </c>
      <c r="B339" s="17">
        <f>COUNTIFS('Tracking Sheet'!$D$5:$D$504,A339,'Tracking Sheet'!$AL$5:$AL$504,"active")</f>
        <v>0</v>
      </c>
      <c r="C339" s="29"/>
      <c r="F339" s="17" t="s">
        <v>26</v>
      </c>
      <c r="G339" s="17" t="str">
        <f>'Demographic Descriptions'!M51</f>
        <v>Position 49</v>
      </c>
      <c r="H339" s="17">
        <f ca="1">COUNTIFS('Tracking Sheet'!$AM$5:$AM$504,Calculations!G339,'Tracking Sheet'!$AI$5:$AI$504,"Quarter 4",'Tracking Sheet'!$AX$5:$AX$504,Calculations!$K$1)</f>
        <v>0</v>
      </c>
      <c r="L339" s="17" t="s">
        <v>26</v>
      </c>
      <c r="M339" s="17" t="str">
        <f>'Demographic Descriptions'!M51</f>
        <v>Position 49</v>
      </c>
      <c r="N339" s="17">
        <f ca="1">COUNTIFS('Tracking Sheet'!$AM$5:$AM$504,Calculations!M339,'Tracking Sheet'!$AV$5:$AV$504,"Quarter 4",'Tracking Sheet'!$AY$5:$AY$504,Calculations!$K$1)</f>
        <v>0</v>
      </c>
    </row>
    <row r="340" spans="1:14" ht="15.75" customHeight="1" thickBot="1">
      <c r="A340" s="17" t="s">
        <v>586</v>
      </c>
      <c r="B340" s="17">
        <f>COUNTIFS('Tracking Sheet'!$D$5:$D$504,A340,'Tracking Sheet'!$AL$5:$AL$504,"active")</f>
        <v>0</v>
      </c>
      <c r="C340" s="29"/>
      <c r="F340" s="20" t="s">
        <v>26</v>
      </c>
      <c r="G340" s="20" t="str">
        <f>'Demographic Descriptions'!M52</f>
        <v>Position 50</v>
      </c>
      <c r="H340" s="20">
        <f ca="1">COUNTIFS('Tracking Sheet'!$AM$5:$AM$504,Calculations!G340,'Tracking Sheet'!$AI$5:$AI$504,"Quarter 4",'Tracking Sheet'!$AX$5:$AX$504,Calculations!$K$1)</f>
        <v>0</v>
      </c>
      <c r="L340" s="20" t="s">
        <v>26</v>
      </c>
      <c r="M340" s="20" t="str">
        <f>'Demographic Descriptions'!M52</f>
        <v>Position 50</v>
      </c>
      <c r="N340" s="20">
        <f ca="1">COUNTIFS('Tracking Sheet'!$AM$5:$AM$504,Calculations!M340,'Tracking Sheet'!$AV$5:$AV$504,"Quarter 4",'Tracking Sheet'!$AY$5:$AY$504,Calculations!$K$1)</f>
        <v>0</v>
      </c>
    </row>
    <row r="341" spans="1:14" ht="15.75" customHeight="1" thickTop="1">
      <c r="A341" s="17" t="s">
        <v>589</v>
      </c>
      <c r="B341" s="17">
        <f>COUNTIFS('Tracking Sheet'!$D$5:$D$504,A341,'Tracking Sheet'!$AL$5:$AL$504,"active")</f>
        <v>0</v>
      </c>
      <c r="C341" s="29"/>
    </row>
    <row r="342" spans="1:14" ht="15.75" customHeight="1">
      <c r="A342" s="17" t="s">
        <v>592</v>
      </c>
      <c r="B342" s="17">
        <f>COUNTIFS('Tracking Sheet'!$D$5:$D$504,A342,'Tracking Sheet'!$AL$5:$AL$504,"active")</f>
        <v>0</v>
      </c>
      <c r="C342" s="29"/>
      <c r="F342" s="16" t="s">
        <v>894</v>
      </c>
      <c r="L342" s="16" t="s">
        <v>895</v>
      </c>
    </row>
    <row r="343" spans="1:14" ht="15.75" customHeight="1">
      <c r="A343" s="17" t="s">
        <v>211</v>
      </c>
      <c r="B343" s="17">
        <f>COUNTIFS('Tracking Sheet'!$D$5:$D$504,A343,'Tracking Sheet'!$AL$5:$AL$504,"active")</f>
        <v>2</v>
      </c>
      <c r="C343" s="29"/>
      <c r="F343" s="17" t="s">
        <v>21</v>
      </c>
      <c r="G343" s="17" t="str">
        <f>'Demographic Descriptions'!A3</f>
        <v>BU 1</v>
      </c>
      <c r="H343" s="17">
        <f ca="1">COUNTIFS('Tracking Sheet'!$AN$5:$AN$504,Calculations!G343,'Tracking Sheet'!$AI$5:$AI$504,"Quarter 1",'Tracking Sheet'!$AX$5:$AX$504,Calculations!$K$1)</f>
        <v>0</v>
      </c>
      <c r="L343" s="17" t="s">
        <v>21</v>
      </c>
      <c r="M343" s="17" t="str">
        <f>'Demographic Descriptions'!A3</f>
        <v>BU 1</v>
      </c>
      <c r="N343" s="17">
        <f ca="1">COUNTIFS('Tracking Sheet'!$AN$5:$AN$504,Calculations!M343,'Tracking Sheet'!$AV$5:$AV$504,"Quarter 1",'Tracking Sheet'!$AY$5:$AY$504,Calculations!$K$1)</f>
        <v>0</v>
      </c>
    </row>
    <row r="344" spans="1:14" ht="15.75" customHeight="1">
      <c r="A344" s="17" t="s">
        <v>595</v>
      </c>
      <c r="B344" s="17">
        <f>COUNTIFS('Tracking Sheet'!$D$5:$D$504,A344,'Tracking Sheet'!$AL$5:$AL$504,"active")</f>
        <v>0</v>
      </c>
      <c r="C344" s="29"/>
      <c r="F344" s="17" t="s">
        <v>21</v>
      </c>
      <c r="G344" s="17" t="str">
        <f>'Demographic Descriptions'!A4</f>
        <v>BU 2</v>
      </c>
      <c r="H344" s="17">
        <f ca="1">COUNTIFS('Tracking Sheet'!$AN$5:$AN$504,Calculations!G344,'Tracking Sheet'!$AI$5:$AI$504,"Quarter 1",'Tracking Sheet'!$AX$5:$AX$504,Calculations!$K$1)</f>
        <v>0</v>
      </c>
      <c r="L344" s="17" t="s">
        <v>21</v>
      </c>
      <c r="M344" s="17" t="str">
        <f>'Demographic Descriptions'!A4</f>
        <v>BU 2</v>
      </c>
      <c r="N344" s="17">
        <f ca="1">COUNTIFS('Tracking Sheet'!$AN$5:$AN$504,Calculations!M344,'Tracking Sheet'!$AV$5:$AV$504,"Quarter 1",'Tracking Sheet'!$AY$5:$AY$504,Calculations!$K$1)</f>
        <v>0</v>
      </c>
    </row>
    <row r="345" spans="1:14" ht="15.75" customHeight="1">
      <c r="A345" s="17" t="s">
        <v>598</v>
      </c>
      <c r="B345" s="17">
        <f>COUNTIFS('Tracking Sheet'!$D$5:$D$504,A345,'Tracking Sheet'!$AL$5:$AL$504,"active")</f>
        <v>0</v>
      </c>
      <c r="C345" s="29"/>
      <c r="F345" s="17" t="s">
        <v>21</v>
      </c>
      <c r="G345" s="17" t="str">
        <f>'Demographic Descriptions'!A5</f>
        <v>BU 3</v>
      </c>
      <c r="H345" s="17">
        <f ca="1">COUNTIFS('Tracking Sheet'!$AN$5:$AN$504,Calculations!G345,'Tracking Sheet'!$AI$5:$AI$504,"Quarter 1",'Tracking Sheet'!$AX$5:$AX$504,Calculations!$K$1)</f>
        <v>0</v>
      </c>
      <c r="L345" s="17" t="s">
        <v>21</v>
      </c>
      <c r="M345" s="17" t="str">
        <f>'Demographic Descriptions'!A5</f>
        <v>BU 3</v>
      </c>
      <c r="N345" s="17">
        <f ca="1">COUNTIFS('Tracking Sheet'!$AN$5:$AN$504,Calculations!M345,'Tracking Sheet'!$AV$5:$AV$504,"Quarter 1",'Tracking Sheet'!$AY$5:$AY$504,Calculations!$K$1)</f>
        <v>0</v>
      </c>
    </row>
    <row r="346" spans="1:14" ht="15.75" customHeight="1">
      <c r="A346" s="17" t="s">
        <v>600</v>
      </c>
      <c r="B346" s="17">
        <f>COUNTIFS('Tracking Sheet'!$D$5:$D$504,A346,'Tracking Sheet'!$AL$5:$AL$504,"active")</f>
        <v>0</v>
      </c>
      <c r="C346" s="29"/>
      <c r="F346" s="17" t="s">
        <v>21</v>
      </c>
      <c r="G346" s="17" t="str">
        <f>'Demographic Descriptions'!A6</f>
        <v>BU 4</v>
      </c>
      <c r="H346" s="17">
        <f ca="1">COUNTIFS('Tracking Sheet'!$AN$5:$AN$504,Calculations!G346,'Tracking Sheet'!$AI$5:$AI$504,"Quarter 1",'Tracking Sheet'!$AX$5:$AX$504,Calculations!$K$1)</f>
        <v>0</v>
      </c>
      <c r="L346" s="17" t="s">
        <v>21</v>
      </c>
      <c r="M346" s="17" t="str">
        <f>'Demographic Descriptions'!A6</f>
        <v>BU 4</v>
      </c>
      <c r="N346" s="17">
        <f ca="1">COUNTIFS('Tracking Sheet'!$AN$5:$AN$504,Calculations!M346,'Tracking Sheet'!$AV$5:$AV$504,"Quarter 1",'Tracking Sheet'!$AY$5:$AY$504,Calculations!$K$1)</f>
        <v>0</v>
      </c>
    </row>
    <row r="347" spans="1:14" ht="15.75" customHeight="1">
      <c r="A347" s="17" t="s">
        <v>602</v>
      </c>
      <c r="B347" s="17">
        <f>COUNTIFS('Tracking Sheet'!$D$5:$D$504,A347,'Tracking Sheet'!$AL$5:$AL$504,"active")</f>
        <v>0</v>
      </c>
      <c r="C347" s="29"/>
      <c r="F347" s="17" t="s">
        <v>21</v>
      </c>
      <c r="G347" s="17" t="str">
        <f>'Demographic Descriptions'!A7</f>
        <v>BU 5</v>
      </c>
      <c r="H347" s="17">
        <f ca="1">COUNTIFS('Tracking Sheet'!$AN$5:$AN$504,Calculations!G347,'Tracking Sheet'!$AI$5:$AI$504,"Quarter 1",'Tracking Sheet'!$AX$5:$AX$504,Calculations!$K$1)</f>
        <v>0</v>
      </c>
      <c r="L347" s="17" t="s">
        <v>21</v>
      </c>
      <c r="M347" s="17" t="str">
        <f>'Demographic Descriptions'!A7</f>
        <v>BU 5</v>
      </c>
      <c r="N347" s="17">
        <f ca="1">COUNTIFS('Tracking Sheet'!$AN$5:$AN$504,Calculations!M347,'Tracking Sheet'!$AV$5:$AV$504,"Quarter 1",'Tracking Sheet'!$AY$5:$AY$504,Calculations!$K$1)</f>
        <v>0</v>
      </c>
    </row>
    <row r="348" spans="1:14" ht="15.75" customHeight="1">
      <c r="A348" s="17" t="s">
        <v>605</v>
      </c>
      <c r="B348" s="17">
        <f>COUNTIFS('Tracking Sheet'!$D$5:$D$504,A348,'Tracking Sheet'!$AL$5:$AL$504,"active")</f>
        <v>0</v>
      </c>
      <c r="C348" s="29"/>
      <c r="F348" s="17" t="s">
        <v>21</v>
      </c>
      <c r="G348" s="17" t="str">
        <f>'Demographic Descriptions'!A8</f>
        <v>BU 6</v>
      </c>
      <c r="H348" s="17">
        <f ca="1">COUNTIFS('Tracking Sheet'!$AN$5:$AN$504,Calculations!G348,'Tracking Sheet'!$AI$5:$AI$504,"Quarter 1",'Tracking Sheet'!$AX$5:$AX$504,Calculations!$K$1)</f>
        <v>0</v>
      </c>
      <c r="L348" s="17" t="s">
        <v>21</v>
      </c>
      <c r="M348" s="17" t="str">
        <f>'Demographic Descriptions'!A8</f>
        <v>BU 6</v>
      </c>
      <c r="N348" s="17">
        <f ca="1">COUNTIFS('Tracking Sheet'!$AN$5:$AN$504,Calculations!M348,'Tracking Sheet'!$AV$5:$AV$504,"Quarter 1",'Tracking Sheet'!$AY$5:$AY$504,Calculations!$K$1)</f>
        <v>0</v>
      </c>
    </row>
    <row r="349" spans="1:14" ht="15.75" customHeight="1">
      <c r="A349" s="17" t="s">
        <v>607</v>
      </c>
      <c r="B349" s="17">
        <f>COUNTIFS('Tracking Sheet'!$D$5:$D$504,A349,'Tracking Sheet'!$AL$5:$AL$504,"active")</f>
        <v>0</v>
      </c>
      <c r="C349" s="29"/>
      <c r="F349" s="17" t="s">
        <v>21</v>
      </c>
      <c r="G349" s="17" t="str">
        <f>'Demographic Descriptions'!A9</f>
        <v>BU 7</v>
      </c>
      <c r="H349" s="17">
        <f ca="1">COUNTIFS('Tracking Sheet'!$AN$5:$AN$504,Calculations!G349,'Tracking Sheet'!$AI$5:$AI$504,"Quarter 1",'Tracking Sheet'!$AX$5:$AX$504,Calculations!$K$1)</f>
        <v>0</v>
      </c>
      <c r="L349" s="17" t="s">
        <v>21</v>
      </c>
      <c r="M349" s="17" t="str">
        <f>'Demographic Descriptions'!A9</f>
        <v>BU 7</v>
      </c>
      <c r="N349" s="17">
        <f ca="1">COUNTIFS('Tracking Sheet'!$AN$5:$AN$504,Calculations!M349,'Tracking Sheet'!$AV$5:$AV$504,"Quarter 1",'Tracking Sheet'!$AY$5:$AY$504,Calculations!$K$1)</f>
        <v>0</v>
      </c>
    </row>
    <row r="350" spans="1:14" ht="15.75" customHeight="1">
      <c r="A350" s="17" t="s">
        <v>609</v>
      </c>
      <c r="B350" s="17">
        <f>COUNTIFS('Tracking Sheet'!$D$5:$D$504,A350,'Tracking Sheet'!$AL$5:$AL$504,"active")</f>
        <v>0</v>
      </c>
      <c r="C350" s="29"/>
      <c r="F350" s="17" t="s">
        <v>21</v>
      </c>
      <c r="G350" s="17" t="str">
        <f>'Demographic Descriptions'!A10</f>
        <v>BU 8</v>
      </c>
      <c r="H350" s="17">
        <f ca="1">COUNTIFS('Tracking Sheet'!$AN$5:$AN$504,Calculations!G350,'Tracking Sheet'!$AI$5:$AI$504,"Quarter 1",'Tracking Sheet'!$AX$5:$AX$504,Calculations!$K$1)</f>
        <v>0</v>
      </c>
      <c r="L350" s="17" t="s">
        <v>21</v>
      </c>
      <c r="M350" s="17" t="str">
        <f>'Demographic Descriptions'!A10</f>
        <v>BU 8</v>
      </c>
      <c r="N350" s="17">
        <f ca="1">COUNTIFS('Tracking Sheet'!$AN$5:$AN$504,Calculations!M350,'Tracking Sheet'!$AV$5:$AV$504,"Quarter 1",'Tracking Sheet'!$AY$5:$AY$504,Calculations!$K$1)</f>
        <v>0</v>
      </c>
    </row>
    <row r="351" spans="1:14" ht="15.75" customHeight="1">
      <c r="A351" s="17" t="s">
        <v>612</v>
      </c>
      <c r="B351" s="17">
        <f>COUNTIFS('Tracking Sheet'!$D$5:$D$504,A351,'Tracking Sheet'!$AL$5:$AL$504,"active")</f>
        <v>0</v>
      </c>
      <c r="C351" s="29"/>
      <c r="F351" s="17" t="s">
        <v>21</v>
      </c>
      <c r="G351" s="17" t="str">
        <f>'Demographic Descriptions'!A11</f>
        <v>BU 9</v>
      </c>
      <c r="H351" s="17">
        <f ca="1">COUNTIFS('Tracking Sheet'!$AN$5:$AN$504,Calculations!G351,'Tracking Sheet'!$AI$5:$AI$504,"Quarter 1",'Tracking Sheet'!$AX$5:$AX$504,Calculations!$K$1)</f>
        <v>0</v>
      </c>
      <c r="L351" s="17" t="s">
        <v>21</v>
      </c>
      <c r="M351" s="17" t="str">
        <f>'Demographic Descriptions'!A11</f>
        <v>BU 9</v>
      </c>
      <c r="N351" s="17">
        <f ca="1">COUNTIFS('Tracking Sheet'!$AN$5:$AN$504,Calculations!M351,'Tracking Sheet'!$AV$5:$AV$504,"Quarter 1",'Tracking Sheet'!$AY$5:$AY$504,Calculations!$K$1)</f>
        <v>0</v>
      </c>
    </row>
    <row r="352" spans="1:14" ht="15.75" customHeight="1">
      <c r="A352" s="17" t="s">
        <v>613</v>
      </c>
      <c r="B352" s="17">
        <f>COUNTIFS('Tracking Sheet'!$D$5:$D$504,A352,'Tracking Sheet'!$AL$5:$AL$504,"active")</f>
        <v>0</v>
      </c>
      <c r="C352" s="29"/>
      <c r="F352" s="17" t="s">
        <v>21</v>
      </c>
      <c r="G352" s="17" t="str">
        <f>'Demographic Descriptions'!A12</f>
        <v>BU 10</v>
      </c>
      <c r="H352" s="17">
        <f ca="1">COUNTIFS('Tracking Sheet'!$AN$5:$AN$504,Calculations!G352,'Tracking Sheet'!$AI$5:$AI$504,"Quarter 1",'Tracking Sheet'!$AX$5:$AX$504,Calculations!$K$1)</f>
        <v>0</v>
      </c>
      <c r="L352" s="17" t="s">
        <v>21</v>
      </c>
      <c r="M352" s="17" t="str">
        <f>'Demographic Descriptions'!A12</f>
        <v>BU 10</v>
      </c>
      <c r="N352" s="17">
        <f ca="1">COUNTIFS('Tracking Sheet'!$AN$5:$AN$504,Calculations!M352,'Tracking Sheet'!$AV$5:$AV$504,"Quarter 1",'Tracking Sheet'!$AY$5:$AY$504,Calculations!$K$1)</f>
        <v>0</v>
      </c>
    </row>
    <row r="353" spans="1:14" ht="15.75" customHeight="1">
      <c r="A353" s="17" t="s">
        <v>616</v>
      </c>
      <c r="B353" s="17">
        <f>COUNTIFS('Tracking Sheet'!$D$5:$D$504,A353,'Tracking Sheet'!$AL$5:$AL$504,"active")</f>
        <v>0</v>
      </c>
      <c r="C353" s="29"/>
      <c r="F353" s="17" t="s">
        <v>21</v>
      </c>
      <c r="G353" s="17" t="str">
        <f>'Demographic Descriptions'!A13</f>
        <v>BU 11</v>
      </c>
      <c r="H353" s="17">
        <f ca="1">COUNTIFS('Tracking Sheet'!$AN$5:$AN$504,Calculations!G353,'Tracking Sheet'!$AI$5:$AI$504,"Quarter 1",'Tracking Sheet'!$AX$5:$AX$504,Calculations!$K$1)</f>
        <v>0</v>
      </c>
      <c r="L353" s="17" t="s">
        <v>21</v>
      </c>
      <c r="M353" s="17" t="str">
        <f>'Demographic Descriptions'!A13</f>
        <v>BU 11</v>
      </c>
      <c r="N353" s="17">
        <f ca="1">COUNTIFS('Tracking Sheet'!$AN$5:$AN$504,Calculations!M353,'Tracking Sheet'!$AV$5:$AV$504,"Quarter 1",'Tracking Sheet'!$AY$5:$AY$504,Calculations!$K$1)</f>
        <v>0</v>
      </c>
    </row>
    <row r="354" spans="1:14" ht="15.75" customHeight="1">
      <c r="A354" s="17" t="s">
        <v>619</v>
      </c>
      <c r="B354" s="17">
        <f>COUNTIFS('Tracking Sheet'!$D$5:$D$504,A354,'Tracking Sheet'!$AL$5:$AL$504,"active")</f>
        <v>0</v>
      </c>
      <c r="C354" s="29"/>
      <c r="F354" s="17" t="s">
        <v>21</v>
      </c>
      <c r="G354" s="17" t="str">
        <f>'Demographic Descriptions'!A14</f>
        <v>BU 12</v>
      </c>
      <c r="H354" s="17">
        <f ca="1">COUNTIFS('Tracking Sheet'!$AN$5:$AN$504,Calculations!G354,'Tracking Sheet'!$AI$5:$AI$504,"Quarter 1",'Tracking Sheet'!$AX$5:$AX$504,Calculations!$K$1)</f>
        <v>0</v>
      </c>
      <c r="L354" s="17" t="s">
        <v>21</v>
      </c>
      <c r="M354" s="17" t="str">
        <f>'Demographic Descriptions'!A14</f>
        <v>BU 12</v>
      </c>
      <c r="N354" s="17">
        <f ca="1">COUNTIFS('Tracking Sheet'!$AN$5:$AN$504,Calculations!M354,'Tracking Sheet'!$AV$5:$AV$504,"Quarter 1",'Tracking Sheet'!$AY$5:$AY$504,Calculations!$K$1)</f>
        <v>0</v>
      </c>
    </row>
    <row r="355" spans="1:14" ht="15.75" customHeight="1">
      <c r="A355" s="17" t="s">
        <v>893</v>
      </c>
      <c r="B355" s="17">
        <f>COUNTIFS('Tracking Sheet'!$D$5:$D$504,A355,'Tracking Sheet'!$AL$5:$AL$504,"active")</f>
        <v>0</v>
      </c>
      <c r="C355" s="29"/>
      <c r="F355" s="17" t="s">
        <v>21</v>
      </c>
      <c r="G355" s="17" t="str">
        <f>'Demographic Descriptions'!A15</f>
        <v>BU 13</v>
      </c>
      <c r="H355" s="17">
        <f ca="1">COUNTIFS('Tracking Sheet'!$AN$5:$AN$504,Calculations!G355,'Tracking Sheet'!$AI$5:$AI$504,"Quarter 1",'Tracking Sheet'!$AX$5:$AX$504,Calculations!$K$1)</f>
        <v>0</v>
      </c>
      <c r="L355" s="17" t="s">
        <v>21</v>
      </c>
      <c r="M355" s="17" t="str">
        <f>'Demographic Descriptions'!A15</f>
        <v>BU 13</v>
      </c>
      <c r="N355" s="17">
        <f ca="1">COUNTIFS('Tracking Sheet'!$AN$5:$AN$504,Calculations!M355,'Tracking Sheet'!$AV$5:$AV$504,"Quarter 1",'Tracking Sheet'!$AY$5:$AY$504,Calculations!$K$1)</f>
        <v>0</v>
      </c>
    </row>
    <row r="356" spans="1:14" ht="15.75" customHeight="1" thickBot="1">
      <c r="A356" s="17" t="s">
        <v>624</v>
      </c>
      <c r="B356" s="17">
        <f>COUNTIFS('Tracking Sheet'!$D$5:$D$504,A356,'Tracking Sheet'!$AL$5:$AL$504,"active")</f>
        <v>0</v>
      </c>
      <c r="C356" s="29"/>
      <c r="F356" s="20" t="s">
        <v>21</v>
      </c>
      <c r="G356" s="20" t="str">
        <f>'Demographic Descriptions'!A16</f>
        <v>BU 14</v>
      </c>
      <c r="H356" s="20">
        <f ca="1">COUNTIFS('Tracking Sheet'!$AN$5:$AN$504,Calculations!G356,'Tracking Sheet'!$AI$5:$AI$504,"Quarter 1",'Tracking Sheet'!$AX$5:$AX$504,Calculations!$K$1)</f>
        <v>0</v>
      </c>
      <c r="L356" s="20" t="s">
        <v>21</v>
      </c>
      <c r="M356" s="20" t="str">
        <f>'Demographic Descriptions'!A16</f>
        <v>BU 14</v>
      </c>
      <c r="N356" s="20">
        <f ca="1">COUNTIFS('Tracking Sheet'!$AN$5:$AN$504,Calculations!M356,'Tracking Sheet'!$AV$5:$AV$504,"Quarter 1",'Tracking Sheet'!$AY$5:$AY$504,Calculations!$K$1)</f>
        <v>0</v>
      </c>
    </row>
    <row r="357" spans="1:14" ht="15.75" customHeight="1" thickTop="1">
      <c r="A357" s="17" t="s">
        <v>626</v>
      </c>
      <c r="B357" s="17">
        <f>COUNTIFS('Tracking Sheet'!$D$5:$D$504,A357,'Tracking Sheet'!$AL$5:$AL$504,"active")</f>
        <v>0</v>
      </c>
      <c r="C357" s="29"/>
      <c r="F357" s="17" t="s">
        <v>22</v>
      </c>
      <c r="G357" s="17" t="str">
        <f>'Demographic Descriptions'!A3</f>
        <v>BU 1</v>
      </c>
      <c r="H357" s="17">
        <f ca="1">COUNTIFS('Tracking Sheet'!$AN$5:$AN$504,Calculations!G357,'Tracking Sheet'!$AI$5:$AI$504,"Quarter 2",'Tracking Sheet'!$AX$5:$AX$504,Calculations!$K$1)</f>
        <v>0</v>
      </c>
      <c r="L357" s="17" t="s">
        <v>22</v>
      </c>
      <c r="M357" s="17" t="str">
        <f>'Demographic Descriptions'!A3</f>
        <v>BU 1</v>
      </c>
      <c r="N357" s="17">
        <f ca="1">COUNTIFS('Tracking Sheet'!$AN$5:$AN$504,Calculations!M357,'Tracking Sheet'!$AV$5:$AV$504,"Quarter 2",'Tracking Sheet'!$AY$5:$AY$504,Calculations!$K$1)</f>
        <v>0</v>
      </c>
    </row>
    <row r="358" spans="1:14" ht="15.75" customHeight="1">
      <c r="A358" s="17" t="s">
        <v>629</v>
      </c>
      <c r="B358" s="17">
        <f>COUNTIFS('Tracking Sheet'!$D$5:$D$504,A358,'Tracking Sheet'!$AL$5:$AL$504,"active")</f>
        <v>0</v>
      </c>
      <c r="C358" s="29"/>
      <c r="F358" s="17" t="s">
        <v>22</v>
      </c>
      <c r="G358" s="17" t="str">
        <f>'Demographic Descriptions'!A4</f>
        <v>BU 2</v>
      </c>
      <c r="H358" s="17">
        <f ca="1">COUNTIFS('Tracking Sheet'!$AN$5:$AN$504,Calculations!G358,'Tracking Sheet'!$AI$5:$AI$504,"Quarter 2",'Tracking Sheet'!$AX$5:$AX$504,Calculations!$K$1)</f>
        <v>0</v>
      </c>
      <c r="L358" s="17" t="s">
        <v>22</v>
      </c>
      <c r="M358" s="17" t="str">
        <f>'Demographic Descriptions'!A4</f>
        <v>BU 2</v>
      </c>
      <c r="N358" s="17">
        <f ca="1">COUNTIFS('Tracking Sheet'!$AN$5:$AN$504,Calculations!M358,'Tracking Sheet'!$AV$5:$AV$504,"Quarter 2",'Tracking Sheet'!$AY$5:$AY$504,Calculations!$K$1)</f>
        <v>0</v>
      </c>
    </row>
    <row r="359" spans="1:14" ht="15.75" customHeight="1">
      <c r="A359" s="17" t="s">
        <v>632</v>
      </c>
      <c r="B359" s="17">
        <f>COUNTIFS('Tracking Sheet'!$D$5:$D$504,A359,'Tracking Sheet'!$AL$5:$AL$504,"active")</f>
        <v>0</v>
      </c>
      <c r="C359" s="29"/>
      <c r="F359" s="17" t="s">
        <v>22</v>
      </c>
      <c r="G359" s="17" t="str">
        <f>'Demographic Descriptions'!A5</f>
        <v>BU 3</v>
      </c>
      <c r="H359" s="17">
        <f ca="1">COUNTIFS('Tracking Sheet'!$AN$5:$AN$504,Calculations!G359,'Tracking Sheet'!$AI$5:$AI$504,"Quarter 2",'Tracking Sheet'!$AX$5:$AX$504,Calculations!$K$1)</f>
        <v>0</v>
      </c>
      <c r="L359" s="17" t="s">
        <v>22</v>
      </c>
      <c r="M359" s="17" t="str">
        <f>'Demographic Descriptions'!A5</f>
        <v>BU 3</v>
      </c>
      <c r="N359" s="17">
        <f ca="1">COUNTIFS('Tracking Sheet'!$AN$5:$AN$504,Calculations!M359,'Tracking Sheet'!$AV$5:$AV$504,"Quarter 2",'Tracking Sheet'!$AY$5:$AY$504,Calculations!$K$1)</f>
        <v>0</v>
      </c>
    </row>
    <row r="360" spans="1:14" ht="15.75" customHeight="1">
      <c r="A360" s="17" t="s">
        <v>635</v>
      </c>
      <c r="B360" s="17">
        <f>COUNTIFS('Tracking Sheet'!$D$5:$D$504,A360,'Tracking Sheet'!$AL$5:$AL$504,"active")</f>
        <v>0</v>
      </c>
      <c r="C360" s="29"/>
      <c r="F360" s="17" t="s">
        <v>22</v>
      </c>
      <c r="G360" s="17" t="str">
        <f>'Demographic Descriptions'!A6</f>
        <v>BU 4</v>
      </c>
      <c r="H360" s="17">
        <f ca="1">COUNTIFS('Tracking Sheet'!$AN$5:$AN$504,Calculations!G360,'Tracking Sheet'!$AI$5:$AI$504,"Quarter 2",'Tracking Sheet'!$AX$5:$AX$504,Calculations!$K$1)</f>
        <v>0</v>
      </c>
      <c r="L360" s="17" t="s">
        <v>22</v>
      </c>
      <c r="M360" s="17" t="str">
        <f>'Demographic Descriptions'!A6</f>
        <v>BU 4</v>
      </c>
      <c r="N360" s="17">
        <f ca="1">COUNTIFS('Tracking Sheet'!$AN$5:$AN$504,Calculations!M360,'Tracking Sheet'!$AV$5:$AV$504,"Quarter 2",'Tracking Sheet'!$AY$5:$AY$504,Calculations!$K$1)</f>
        <v>0</v>
      </c>
    </row>
    <row r="361" spans="1:14" ht="15.75" customHeight="1">
      <c r="A361" s="17" t="s">
        <v>638</v>
      </c>
      <c r="B361" s="17">
        <f>COUNTIFS('Tracking Sheet'!$D$5:$D$504,A361,'Tracking Sheet'!$AL$5:$AL$504,"active")</f>
        <v>0</v>
      </c>
      <c r="C361" s="29"/>
      <c r="F361" s="17" t="s">
        <v>22</v>
      </c>
      <c r="G361" s="17" t="str">
        <f>'Demographic Descriptions'!A7</f>
        <v>BU 5</v>
      </c>
      <c r="H361" s="17">
        <f ca="1">COUNTIFS('Tracking Sheet'!$AN$5:$AN$504,Calculations!G361,'Tracking Sheet'!$AI$5:$AI$504,"Quarter 2",'Tracking Sheet'!$AX$5:$AX$504,Calculations!$K$1)</f>
        <v>0</v>
      </c>
      <c r="L361" s="17" t="s">
        <v>22</v>
      </c>
      <c r="M361" s="17" t="str">
        <f>'Demographic Descriptions'!A7</f>
        <v>BU 5</v>
      </c>
      <c r="N361" s="17">
        <f ca="1">COUNTIFS('Tracking Sheet'!$AN$5:$AN$504,Calculations!M361,'Tracking Sheet'!$AV$5:$AV$504,"Quarter 2",'Tracking Sheet'!$AY$5:$AY$504,Calculations!$K$1)</f>
        <v>0</v>
      </c>
    </row>
    <row r="362" spans="1:14" ht="15.75" customHeight="1">
      <c r="A362" s="17" t="s">
        <v>641</v>
      </c>
      <c r="B362" s="17">
        <f>COUNTIFS('Tracking Sheet'!$D$5:$D$504,A362,'Tracking Sheet'!$AL$5:$AL$504,"active")</f>
        <v>0</v>
      </c>
      <c r="C362" s="29"/>
      <c r="F362" s="17" t="s">
        <v>22</v>
      </c>
      <c r="G362" s="17" t="str">
        <f>'Demographic Descriptions'!A8</f>
        <v>BU 6</v>
      </c>
      <c r="H362" s="17">
        <f ca="1">COUNTIFS('Tracking Sheet'!$AN$5:$AN$504,Calculations!G362,'Tracking Sheet'!$AI$5:$AI$504,"Quarter 2",'Tracking Sheet'!$AX$5:$AX$504,Calculations!$K$1)</f>
        <v>0</v>
      </c>
      <c r="L362" s="17" t="s">
        <v>22</v>
      </c>
      <c r="M362" s="17" t="str">
        <f>'Demographic Descriptions'!A8</f>
        <v>BU 6</v>
      </c>
      <c r="N362" s="17">
        <f ca="1">COUNTIFS('Tracking Sheet'!$AN$5:$AN$504,Calculations!M362,'Tracking Sheet'!$AV$5:$AV$504,"Quarter 2",'Tracking Sheet'!$AY$5:$AY$504,Calculations!$K$1)</f>
        <v>0</v>
      </c>
    </row>
    <row r="363" spans="1:14" ht="15.75" customHeight="1">
      <c r="A363" s="17" t="s">
        <v>644</v>
      </c>
      <c r="B363" s="17">
        <f>COUNTIFS('Tracking Sheet'!$D$5:$D$504,A363,'Tracking Sheet'!$AL$5:$AL$504,"active")</f>
        <v>0</v>
      </c>
      <c r="C363" s="29"/>
      <c r="F363" s="17" t="s">
        <v>22</v>
      </c>
      <c r="G363" s="17" t="str">
        <f>'Demographic Descriptions'!A9</f>
        <v>BU 7</v>
      </c>
      <c r="H363" s="17">
        <f ca="1">COUNTIFS('Tracking Sheet'!$AN$5:$AN$504,Calculations!G363,'Tracking Sheet'!$AI$5:$AI$504,"Quarter 2",'Tracking Sheet'!$AX$5:$AX$504,Calculations!$K$1)</f>
        <v>0</v>
      </c>
      <c r="L363" s="17" t="s">
        <v>22</v>
      </c>
      <c r="M363" s="17" t="str">
        <f>'Demographic Descriptions'!A9</f>
        <v>BU 7</v>
      </c>
      <c r="N363" s="17">
        <f ca="1">COUNTIFS('Tracking Sheet'!$AN$5:$AN$504,Calculations!M363,'Tracking Sheet'!$AV$5:$AV$504,"Quarter 2",'Tracking Sheet'!$AY$5:$AY$504,Calculations!$K$1)</f>
        <v>0</v>
      </c>
    </row>
    <row r="364" spans="1:14" ht="15.75" customHeight="1">
      <c r="F364" s="17" t="s">
        <v>22</v>
      </c>
      <c r="G364" s="17" t="str">
        <f>'Demographic Descriptions'!A10</f>
        <v>BU 8</v>
      </c>
      <c r="H364" s="17">
        <f ca="1">COUNTIFS('Tracking Sheet'!$AN$5:$AN$504,Calculations!G364,'Tracking Sheet'!$AI$5:$AI$504,"Quarter 2",'Tracking Sheet'!$AX$5:$AX$504,Calculations!$K$1)</f>
        <v>0</v>
      </c>
      <c r="L364" s="17" t="s">
        <v>22</v>
      </c>
      <c r="M364" s="17" t="str">
        <f>'Demographic Descriptions'!A10</f>
        <v>BU 8</v>
      </c>
      <c r="N364" s="17">
        <f ca="1">COUNTIFS('Tracking Sheet'!$AN$5:$AN$504,Calculations!M364,'Tracking Sheet'!$AV$5:$AV$504,"Quarter 2",'Tracking Sheet'!$AY$5:$AY$504,Calculations!$K$1)</f>
        <v>0</v>
      </c>
    </row>
    <row r="365" spans="1:14" ht="15.75" customHeight="1">
      <c r="F365" s="17" t="s">
        <v>22</v>
      </c>
      <c r="G365" s="17" t="str">
        <f>'Demographic Descriptions'!A11</f>
        <v>BU 9</v>
      </c>
      <c r="H365" s="17">
        <f ca="1">COUNTIFS('Tracking Sheet'!$AN$5:$AN$504,Calculations!G365,'Tracking Sheet'!$AI$5:$AI$504,"Quarter 2",'Tracking Sheet'!$AX$5:$AX$504,Calculations!$K$1)</f>
        <v>0</v>
      </c>
      <c r="L365" s="17" t="s">
        <v>22</v>
      </c>
      <c r="M365" s="17" t="str">
        <f>'Demographic Descriptions'!A11</f>
        <v>BU 9</v>
      </c>
      <c r="N365" s="17">
        <f ca="1">COUNTIFS('Tracking Sheet'!$AN$5:$AN$504,Calculations!M365,'Tracking Sheet'!$AV$5:$AV$504,"Quarter 2",'Tracking Sheet'!$AY$5:$AY$504,Calculations!$K$1)</f>
        <v>0</v>
      </c>
    </row>
    <row r="366" spans="1:14" ht="15.75" customHeight="1">
      <c r="F366" s="17" t="s">
        <v>22</v>
      </c>
      <c r="G366" s="17" t="str">
        <f>'Demographic Descriptions'!A12</f>
        <v>BU 10</v>
      </c>
      <c r="H366" s="17">
        <f ca="1">COUNTIFS('Tracking Sheet'!$AN$5:$AN$504,Calculations!G366,'Tracking Sheet'!$AI$5:$AI$504,"Quarter 2",'Tracking Sheet'!$AX$5:$AX$504,Calculations!$K$1)</f>
        <v>0</v>
      </c>
      <c r="L366" s="17" t="s">
        <v>22</v>
      </c>
      <c r="M366" s="17" t="str">
        <f>'Demographic Descriptions'!A12</f>
        <v>BU 10</v>
      </c>
      <c r="N366" s="17">
        <f ca="1">COUNTIFS('Tracking Sheet'!$AN$5:$AN$504,Calculations!M366,'Tracking Sheet'!$AV$5:$AV$504,"Quarter 2",'Tracking Sheet'!$AY$5:$AY$504,Calculations!$K$1)</f>
        <v>0</v>
      </c>
    </row>
    <row r="367" spans="1:14" ht="15.75" customHeight="1">
      <c r="F367" s="17" t="s">
        <v>22</v>
      </c>
      <c r="G367" s="17" t="str">
        <f>'Demographic Descriptions'!A13</f>
        <v>BU 11</v>
      </c>
      <c r="H367" s="17">
        <f ca="1">COUNTIFS('Tracking Sheet'!$AN$5:$AN$504,Calculations!G367,'Tracking Sheet'!$AI$5:$AI$504,"Quarter 2",'Tracking Sheet'!$AX$5:$AX$504,Calculations!$K$1)</f>
        <v>0</v>
      </c>
      <c r="L367" s="17" t="s">
        <v>22</v>
      </c>
      <c r="M367" s="17" t="str">
        <f>'Demographic Descriptions'!A13</f>
        <v>BU 11</v>
      </c>
      <c r="N367" s="17">
        <f ca="1">COUNTIFS('Tracking Sheet'!$AN$5:$AN$504,Calculations!M367,'Tracking Sheet'!$AV$5:$AV$504,"Quarter 2",'Tracking Sheet'!$AY$5:$AY$504,Calculations!$K$1)</f>
        <v>0</v>
      </c>
    </row>
    <row r="368" spans="1:14" ht="15.75" customHeight="1">
      <c r="F368" s="17" t="s">
        <v>22</v>
      </c>
      <c r="G368" s="17" t="str">
        <f>'Demographic Descriptions'!A14</f>
        <v>BU 12</v>
      </c>
      <c r="H368" s="17">
        <f ca="1">COUNTIFS('Tracking Sheet'!$AN$5:$AN$504,Calculations!G368,'Tracking Sheet'!$AI$5:$AI$504,"Quarter 2",'Tracking Sheet'!$AX$5:$AX$504,Calculations!$K$1)</f>
        <v>0</v>
      </c>
      <c r="L368" s="17" t="s">
        <v>22</v>
      </c>
      <c r="M368" s="17" t="str">
        <f>'Demographic Descriptions'!A14</f>
        <v>BU 12</v>
      </c>
      <c r="N368" s="17">
        <f ca="1">COUNTIFS('Tracking Sheet'!$AN$5:$AN$504,Calculations!M368,'Tracking Sheet'!$AV$5:$AV$504,"Quarter 2",'Tracking Sheet'!$AY$5:$AY$504,Calculations!$K$1)</f>
        <v>0</v>
      </c>
    </row>
    <row r="369" spans="6:14" ht="15.75" customHeight="1">
      <c r="F369" s="17" t="s">
        <v>22</v>
      </c>
      <c r="G369" s="17" t="str">
        <f>'Demographic Descriptions'!A15</f>
        <v>BU 13</v>
      </c>
      <c r="H369" s="17">
        <f ca="1">COUNTIFS('Tracking Sheet'!$AN$5:$AN$504,Calculations!G369,'Tracking Sheet'!$AI$5:$AI$504,"Quarter 2",'Tracking Sheet'!$AX$5:$AX$504,Calculations!$K$1)</f>
        <v>0</v>
      </c>
      <c r="L369" s="17" t="s">
        <v>22</v>
      </c>
      <c r="M369" s="17" t="str">
        <f>'Demographic Descriptions'!A15</f>
        <v>BU 13</v>
      </c>
      <c r="N369" s="17">
        <f ca="1">COUNTIFS('Tracking Sheet'!$AN$5:$AN$504,Calculations!M369,'Tracking Sheet'!$AV$5:$AV$504,"Quarter 2",'Tracking Sheet'!$AY$5:$AY$504,Calculations!$K$1)</f>
        <v>0</v>
      </c>
    </row>
    <row r="370" spans="6:14" ht="15.75" customHeight="1" thickBot="1">
      <c r="F370" s="20" t="s">
        <v>22</v>
      </c>
      <c r="G370" s="20" t="str">
        <f>'Demographic Descriptions'!A16</f>
        <v>BU 14</v>
      </c>
      <c r="H370" s="20">
        <f ca="1">COUNTIFS('Tracking Sheet'!$AN$5:$AN$504,Calculations!G370,'Tracking Sheet'!$AI$5:$AI$504,"Quarter 2",'Tracking Sheet'!$AX$5:$AX$504,Calculations!$K$1)</f>
        <v>0</v>
      </c>
      <c r="L370" s="20" t="s">
        <v>22</v>
      </c>
      <c r="M370" s="20" t="str">
        <f>'Demographic Descriptions'!A16</f>
        <v>BU 14</v>
      </c>
      <c r="N370" s="20">
        <f ca="1">COUNTIFS('Tracking Sheet'!$AN$5:$AN$504,Calculations!M370,'Tracking Sheet'!$AV$5:$AV$504,"Quarter 2",'Tracking Sheet'!$AY$5:$AY$504,Calculations!$K$1)</f>
        <v>0</v>
      </c>
    </row>
    <row r="371" spans="6:14" ht="15.75" customHeight="1" thickTop="1">
      <c r="F371" s="17" t="s">
        <v>25</v>
      </c>
      <c r="G371" s="17" t="str">
        <f>'Demographic Descriptions'!A3</f>
        <v>BU 1</v>
      </c>
      <c r="H371" s="17">
        <f ca="1">COUNTIFS('Tracking Sheet'!$AN$5:$AN$504,Calculations!G371,'Tracking Sheet'!$AI$5:$AI$504,"Quarter 3",'Tracking Sheet'!$AX$5:$AX$504,Calculations!$K$1)</f>
        <v>0</v>
      </c>
      <c r="L371" s="17" t="s">
        <v>25</v>
      </c>
      <c r="M371" s="17" t="str">
        <f>'Demographic Descriptions'!A3</f>
        <v>BU 1</v>
      </c>
      <c r="N371" s="17">
        <f ca="1">COUNTIFS('Tracking Sheet'!$AN$5:$AN$504,Calculations!M371,'Tracking Sheet'!$AV$5:$AV$504,"Quarter 3",'Tracking Sheet'!$AY$5:$AY$504,Calculations!$K$1)</f>
        <v>0</v>
      </c>
    </row>
    <row r="372" spans="6:14" ht="15.75" customHeight="1">
      <c r="F372" s="17" t="s">
        <v>25</v>
      </c>
      <c r="G372" s="17" t="str">
        <f>'Demographic Descriptions'!A4</f>
        <v>BU 2</v>
      </c>
      <c r="H372" s="17">
        <f ca="1">COUNTIFS('Tracking Sheet'!$AN$5:$AN$504,Calculations!G372,'Tracking Sheet'!$AI$5:$AI$504,"Quarter 3",'Tracking Sheet'!$AX$5:$AX$504,Calculations!$K$1)</f>
        <v>0</v>
      </c>
      <c r="L372" s="17" t="s">
        <v>25</v>
      </c>
      <c r="M372" s="17" t="str">
        <f>'Demographic Descriptions'!A4</f>
        <v>BU 2</v>
      </c>
      <c r="N372" s="17">
        <f ca="1">COUNTIFS('Tracking Sheet'!$AN$5:$AN$504,Calculations!M372,'Tracking Sheet'!$AV$5:$AV$504,"Quarter 3",'Tracking Sheet'!$AY$5:$AY$504,Calculations!$K$1)</f>
        <v>0</v>
      </c>
    </row>
    <row r="373" spans="6:14" ht="15.75" customHeight="1">
      <c r="F373" s="17" t="s">
        <v>25</v>
      </c>
      <c r="G373" s="17" t="str">
        <f>'Demographic Descriptions'!A5</f>
        <v>BU 3</v>
      </c>
      <c r="H373" s="17">
        <f ca="1">COUNTIFS('Tracking Sheet'!$AN$5:$AN$504,Calculations!G373,'Tracking Sheet'!$AI$5:$AI$504,"Quarter 3",'Tracking Sheet'!$AX$5:$AX$504,Calculations!$K$1)</f>
        <v>0</v>
      </c>
      <c r="L373" s="17" t="s">
        <v>25</v>
      </c>
      <c r="M373" s="17" t="str">
        <f>'Demographic Descriptions'!A5</f>
        <v>BU 3</v>
      </c>
      <c r="N373" s="17">
        <f ca="1">COUNTIFS('Tracking Sheet'!$AN$5:$AN$504,Calculations!M373,'Tracking Sheet'!$AV$5:$AV$504,"Quarter 3",'Tracking Sheet'!$AY$5:$AY$504,Calculations!$K$1)</f>
        <v>0</v>
      </c>
    </row>
    <row r="374" spans="6:14" ht="15.75" customHeight="1">
      <c r="F374" s="17" t="s">
        <v>25</v>
      </c>
      <c r="G374" s="17" t="str">
        <f>'Demographic Descriptions'!A6</f>
        <v>BU 4</v>
      </c>
      <c r="H374" s="17">
        <f ca="1">COUNTIFS('Tracking Sheet'!$AN$5:$AN$504,Calculations!G374,'Tracking Sheet'!$AI$5:$AI$504,"Quarter 3",'Tracking Sheet'!$AX$5:$AX$504,Calculations!$K$1)</f>
        <v>0</v>
      </c>
      <c r="L374" s="17" t="s">
        <v>25</v>
      </c>
      <c r="M374" s="17" t="str">
        <f>'Demographic Descriptions'!A6</f>
        <v>BU 4</v>
      </c>
      <c r="N374" s="17">
        <f ca="1">COUNTIFS('Tracking Sheet'!$AN$5:$AN$504,Calculations!M374,'Tracking Sheet'!$AV$5:$AV$504,"Quarter 3",'Tracking Sheet'!$AY$5:$AY$504,Calculations!$K$1)</f>
        <v>0</v>
      </c>
    </row>
    <row r="375" spans="6:14" ht="15.75" customHeight="1">
      <c r="F375" s="17" t="s">
        <v>25</v>
      </c>
      <c r="G375" s="17" t="str">
        <f>'Demographic Descriptions'!A7</f>
        <v>BU 5</v>
      </c>
      <c r="H375" s="17">
        <f ca="1">COUNTIFS('Tracking Sheet'!$AN$5:$AN$504,Calculations!G375,'Tracking Sheet'!$AI$5:$AI$504,"Quarter 3",'Tracking Sheet'!$AX$5:$AX$504,Calculations!$K$1)</f>
        <v>0</v>
      </c>
      <c r="L375" s="17" t="s">
        <v>25</v>
      </c>
      <c r="M375" s="17" t="str">
        <f>'Demographic Descriptions'!A7</f>
        <v>BU 5</v>
      </c>
      <c r="N375" s="17">
        <f ca="1">COUNTIFS('Tracking Sheet'!$AN$5:$AN$504,Calculations!M375,'Tracking Sheet'!$AV$5:$AV$504,"Quarter 3",'Tracking Sheet'!$AY$5:$AY$504,Calculations!$K$1)</f>
        <v>0</v>
      </c>
    </row>
    <row r="376" spans="6:14" ht="15.75" customHeight="1">
      <c r="F376" s="17" t="s">
        <v>25</v>
      </c>
      <c r="G376" s="17" t="str">
        <f>'Demographic Descriptions'!A8</f>
        <v>BU 6</v>
      </c>
      <c r="H376" s="17">
        <f ca="1">COUNTIFS('Tracking Sheet'!$AN$5:$AN$504,Calculations!G376,'Tracking Sheet'!$AI$5:$AI$504,"Quarter 3",'Tracking Sheet'!$AX$5:$AX$504,Calculations!$K$1)</f>
        <v>0</v>
      </c>
      <c r="L376" s="17" t="s">
        <v>25</v>
      </c>
      <c r="M376" s="17" t="str">
        <f>'Demographic Descriptions'!A8</f>
        <v>BU 6</v>
      </c>
      <c r="N376" s="17">
        <f ca="1">COUNTIFS('Tracking Sheet'!$AN$5:$AN$504,Calculations!M376,'Tracking Sheet'!$AV$5:$AV$504,"Quarter 3",'Tracking Sheet'!$AY$5:$AY$504,Calculations!$K$1)</f>
        <v>0</v>
      </c>
    </row>
    <row r="377" spans="6:14" ht="15.75" customHeight="1">
      <c r="F377" s="17" t="s">
        <v>25</v>
      </c>
      <c r="G377" s="17" t="str">
        <f>'Demographic Descriptions'!A9</f>
        <v>BU 7</v>
      </c>
      <c r="H377" s="17">
        <f ca="1">COUNTIFS('Tracking Sheet'!$AN$5:$AN$504,Calculations!G377,'Tracking Sheet'!$AI$5:$AI$504,"Quarter 3",'Tracking Sheet'!$AX$5:$AX$504,Calculations!$K$1)</f>
        <v>0</v>
      </c>
      <c r="L377" s="17" t="s">
        <v>25</v>
      </c>
      <c r="M377" s="17" t="str">
        <f>'Demographic Descriptions'!A9</f>
        <v>BU 7</v>
      </c>
      <c r="N377" s="17">
        <f ca="1">COUNTIFS('Tracking Sheet'!$AN$5:$AN$504,Calculations!M377,'Tracking Sheet'!$AV$5:$AV$504,"Quarter 3",'Tracking Sheet'!$AY$5:$AY$504,Calculations!$K$1)</f>
        <v>0</v>
      </c>
    </row>
    <row r="378" spans="6:14" ht="15.75" customHeight="1">
      <c r="F378" s="17" t="s">
        <v>25</v>
      </c>
      <c r="G378" s="17" t="str">
        <f>'Demographic Descriptions'!A10</f>
        <v>BU 8</v>
      </c>
      <c r="H378" s="17">
        <f ca="1">COUNTIFS('Tracking Sheet'!$AN$5:$AN$504,Calculations!G378,'Tracking Sheet'!$AI$5:$AI$504,"Quarter 3",'Tracking Sheet'!$AX$5:$AX$504,Calculations!$K$1)</f>
        <v>0</v>
      </c>
      <c r="L378" s="17" t="s">
        <v>25</v>
      </c>
      <c r="M378" s="17" t="str">
        <f>'Demographic Descriptions'!A10</f>
        <v>BU 8</v>
      </c>
      <c r="N378" s="17">
        <f ca="1">COUNTIFS('Tracking Sheet'!$AN$5:$AN$504,Calculations!M378,'Tracking Sheet'!$AV$5:$AV$504,"Quarter 3",'Tracking Sheet'!$AY$5:$AY$504,Calculations!$K$1)</f>
        <v>0</v>
      </c>
    </row>
    <row r="379" spans="6:14" ht="15.75" customHeight="1">
      <c r="F379" s="17" t="s">
        <v>25</v>
      </c>
      <c r="G379" s="17" t="str">
        <f>'Demographic Descriptions'!A11</f>
        <v>BU 9</v>
      </c>
      <c r="H379" s="17">
        <f ca="1">COUNTIFS('Tracking Sheet'!$AN$5:$AN$504,Calculations!G379,'Tracking Sheet'!$AI$5:$AI$504,"Quarter 3",'Tracking Sheet'!$AX$5:$AX$504,Calculations!$K$1)</f>
        <v>0</v>
      </c>
      <c r="L379" s="17" t="s">
        <v>25</v>
      </c>
      <c r="M379" s="17" t="str">
        <f>'Demographic Descriptions'!A11</f>
        <v>BU 9</v>
      </c>
      <c r="N379" s="17">
        <f ca="1">COUNTIFS('Tracking Sheet'!$AN$5:$AN$504,Calculations!M379,'Tracking Sheet'!$AV$5:$AV$504,"Quarter 3",'Tracking Sheet'!$AY$5:$AY$504,Calculations!$K$1)</f>
        <v>0</v>
      </c>
    </row>
    <row r="380" spans="6:14" ht="15.75" customHeight="1">
      <c r="F380" s="17" t="s">
        <v>25</v>
      </c>
      <c r="G380" s="17" t="str">
        <f>'Demographic Descriptions'!A12</f>
        <v>BU 10</v>
      </c>
      <c r="H380" s="17">
        <f ca="1">COUNTIFS('Tracking Sheet'!$AN$5:$AN$504,Calculations!G380,'Tracking Sheet'!$AI$5:$AI$504,"Quarter 3",'Tracking Sheet'!$AX$5:$AX$504,Calculations!$K$1)</f>
        <v>0</v>
      </c>
      <c r="L380" s="17" t="s">
        <v>25</v>
      </c>
      <c r="M380" s="17" t="str">
        <f>'Demographic Descriptions'!A12</f>
        <v>BU 10</v>
      </c>
      <c r="N380" s="17">
        <f ca="1">COUNTIFS('Tracking Sheet'!$AN$5:$AN$504,Calculations!M380,'Tracking Sheet'!$AV$5:$AV$504,"Quarter 3",'Tracking Sheet'!$AY$5:$AY$504,Calculations!$K$1)</f>
        <v>0</v>
      </c>
    </row>
    <row r="381" spans="6:14" ht="15.75" customHeight="1">
      <c r="F381" s="17" t="s">
        <v>25</v>
      </c>
      <c r="G381" s="17" t="str">
        <f>'Demographic Descriptions'!A13</f>
        <v>BU 11</v>
      </c>
      <c r="H381" s="17">
        <f ca="1">COUNTIFS('Tracking Sheet'!$AN$5:$AN$504,Calculations!G381,'Tracking Sheet'!$AI$5:$AI$504,"Quarter 3",'Tracking Sheet'!$AX$5:$AX$504,Calculations!$K$1)</f>
        <v>0</v>
      </c>
      <c r="L381" s="17" t="s">
        <v>25</v>
      </c>
      <c r="M381" s="17" t="str">
        <f>'Demographic Descriptions'!A13</f>
        <v>BU 11</v>
      </c>
      <c r="N381" s="17">
        <f ca="1">COUNTIFS('Tracking Sheet'!$AN$5:$AN$504,Calculations!M381,'Tracking Sheet'!$AV$5:$AV$504,"Quarter 3",'Tracking Sheet'!$AY$5:$AY$504,Calculations!$K$1)</f>
        <v>0</v>
      </c>
    </row>
    <row r="382" spans="6:14" ht="15.75" customHeight="1">
      <c r="F382" s="17" t="s">
        <v>25</v>
      </c>
      <c r="G382" s="17" t="str">
        <f>'Demographic Descriptions'!A14</f>
        <v>BU 12</v>
      </c>
      <c r="H382" s="17">
        <f ca="1">COUNTIFS('Tracking Sheet'!$AN$5:$AN$504,Calculations!G382,'Tracking Sheet'!$AI$5:$AI$504,"Quarter 3",'Tracking Sheet'!$AX$5:$AX$504,Calculations!$K$1)</f>
        <v>0</v>
      </c>
      <c r="L382" s="17" t="s">
        <v>25</v>
      </c>
      <c r="M382" s="17" t="str">
        <f>'Demographic Descriptions'!A14</f>
        <v>BU 12</v>
      </c>
      <c r="N382" s="17">
        <f ca="1">COUNTIFS('Tracking Sheet'!$AN$5:$AN$504,Calculations!M382,'Tracking Sheet'!$AV$5:$AV$504,"Quarter 3",'Tracking Sheet'!$AY$5:$AY$504,Calculations!$K$1)</f>
        <v>0</v>
      </c>
    </row>
    <row r="383" spans="6:14" ht="15.75" customHeight="1">
      <c r="F383" s="17" t="s">
        <v>25</v>
      </c>
      <c r="G383" s="17" t="str">
        <f>'Demographic Descriptions'!A15</f>
        <v>BU 13</v>
      </c>
      <c r="H383" s="17">
        <f ca="1">COUNTIFS('Tracking Sheet'!$AN$5:$AN$504,Calculations!G383,'Tracking Sheet'!$AI$5:$AI$504,"Quarter 3",'Tracking Sheet'!$AX$5:$AX$504,Calculations!$K$1)</f>
        <v>0</v>
      </c>
      <c r="L383" s="17" t="s">
        <v>25</v>
      </c>
      <c r="M383" s="17" t="str">
        <f>'Demographic Descriptions'!A15</f>
        <v>BU 13</v>
      </c>
      <c r="N383" s="17">
        <f ca="1">COUNTIFS('Tracking Sheet'!$AN$5:$AN$504,Calculations!M383,'Tracking Sheet'!$AV$5:$AV$504,"Quarter 3",'Tracking Sheet'!$AY$5:$AY$504,Calculations!$K$1)</f>
        <v>0</v>
      </c>
    </row>
    <row r="384" spans="6:14" ht="15.75" customHeight="1" thickBot="1">
      <c r="F384" s="20" t="s">
        <v>25</v>
      </c>
      <c r="G384" s="20" t="str">
        <f>'Demographic Descriptions'!A16</f>
        <v>BU 14</v>
      </c>
      <c r="H384" s="20">
        <f ca="1">COUNTIFS('Tracking Sheet'!$AN$5:$AN$504,Calculations!G384,'Tracking Sheet'!$AI$5:$AI$504,"Quarter 3",'Tracking Sheet'!$AX$5:$AX$504,Calculations!$K$1)</f>
        <v>0</v>
      </c>
      <c r="L384" s="20" t="s">
        <v>25</v>
      </c>
      <c r="M384" s="20" t="str">
        <f>'Demographic Descriptions'!A16</f>
        <v>BU 14</v>
      </c>
      <c r="N384" s="20">
        <f ca="1">COUNTIFS('Tracking Sheet'!$AN$5:$AN$504,Calculations!M384,'Tracking Sheet'!$AV$5:$AV$504,"Quarter 3",'Tracking Sheet'!$AY$5:$AY$504,Calculations!$K$1)</f>
        <v>0</v>
      </c>
    </row>
    <row r="385" spans="6:14" ht="15.75" customHeight="1" thickTop="1">
      <c r="F385" s="17" t="s">
        <v>26</v>
      </c>
      <c r="G385" s="17" t="str">
        <f>'Demographic Descriptions'!A3</f>
        <v>BU 1</v>
      </c>
      <c r="H385" s="17">
        <f ca="1">COUNTIFS('Tracking Sheet'!$AN$5:$AN$504,Calculations!G385,'Tracking Sheet'!$AI$5:$AI$504,"Quarter 4",'Tracking Sheet'!$AX$5:$AX$504,Calculations!$K$1)</f>
        <v>0</v>
      </c>
      <c r="L385" s="17" t="s">
        <v>26</v>
      </c>
      <c r="M385" s="17" t="str">
        <f>'Demographic Descriptions'!A3</f>
        <v>BU 1</v>
      </c>
      <c r="N385" s="17">
        <f ca="1">COUNTIFS('Tracking Sheet'!$AN$5:$AN$504,Calculations!M385,'Tracking Sheet'!$AV$5:$AV$504,"Quarter 4",'Tracking Sheet'!$AY$5:$AY$504,Calculations!$K$1)</f>
        <v>0</v>
      </c>
    </row>
    <row r="386" spans="6:14" ht="15.75" customHeight="1">
      <c r="F386" s="17" t="s">
        <v>26</v>
      </c>
      <c r="G386" s="17" t="str">
        <f>'Demographic Descriptions'!A4</f>
        <v>BU 2</v>
      </c>
      <c r="H386" s="17">
        <f ca="1">COUNTIFS('Tracking Sheet'!$AN$5:$AN$504,Calculations!G386,'Tracking Sheet'!$AI$5:$AI$504,"Quarter 4",'Tracking Sheet'!$AX$5:$AX$504,Calculations!$K$1)</f>
        <v>0</v>
      </c>
      <c r="L386" s="17" t="s">
        <v>26</v>
      </c>
      <c r="M386" s="17" t="str">
        <f>'Demographic Descriptions'!A4</f>
        <v>BU 2</v>
      </c>
      <c r="N386" s="17">
        <f ca="1">COUNTIFS('Tracking Sheet'!$AN$5:$AN$504,Calculations!M386,'Tracking Sheet'!$AV$5:$AV$504,"Quarter 4",'Tracking Sheet'!$AY$5:$AY$504,Calculations!$K$1)</f>
        <v>0</v>
      </c>
    </row>
    <row r="387" spans="6:14" ht="15.75" customHeight="1">
      <c r="F387" s="17" t="s">
        <v>26</v>
      </c>
      <c r="G387" s="17" t="str">
        <f>'Demographic Descriptions'!A5</f>
        <v>BU 3</v>
      </c>
      <c r="H387" s="17">
        <f ca="1">COUNTIFS('Tracking Sheet'!$AN$5:$AN$504,Calculations!G387,'Tracking Sheet'!$AI$5:$AI$504,"Quarter 4",'Tracking Sheet'!$AX$5:$AX$504,Calculations!$K$1)</f>
        <v>0</v>
      </c>
      <c r="L387" s="17" t="s">
        <v>26</v>
      </c>
      <c r="M387" s="17" t="str">
        <f>'Demographic Descriptions'!A5</f>
        <v>BU 3</v>
      </c>
      <c r="N387" s="17">
        <f ca="1">COUNTIFS('Tracking Sheet'!$AN$5:$AN$504,Calculations!M387,'Tracking Sheet'!$AV$5:$AV$504,"Quarter 4",'Tracking Sheet'!$AY$5:$AY$504,Calculations!$K$1)</f>
        <v>0</v>
      </c>
    </row>
    <row r="388" spans="6:14" ht="15.75" customHeight="1">
      <c r="F388" s="17" t="s">
        <v>26</v>
      </c>
      <c r="G388" s="17" t="str">
        <f>'Demographic Descriptions'!A6</f>
        <v>BU 4</v>
      </c>
      <c r="H388" s="17">
        <f ca="1">COUNTIFS('Tracking Sheet'!$AN$5:$AN$504,Calculations!G388,'Tracking Sheet'!$AI$5:$AI$504,"Quarter 4",'Tracking Sheet'!$AX$5:$AX$504,Calculations!$K$1)</f>
        <v>0</v>
      </c>
      <c r="L388" s="17" t="s">
        <v>26</v>
      </c>
      <c r="M388" s="17" t="str">
        <f>'Demographic Descriptions'!A6</f>
        <v>BU 4</v>
      </c>
      <c r="N388" s="17">
        <f ca="1">COUNTIFS('Tracking Sheet'!$AN$5:$AN$504,Calculations!M388,'Tracking Sheet'!$AV$5:$AV$504,"Quarter 4",'Tracking Sheet'!$AY$5:$AY$504,Calculations!$K$1)</f>
        <v>0</v>
      </c>
    </row>
    <row r="389" spans="6:14" ht="15.75" customHeight="1">
      <c r="F389" s="17" t="s">
        <v>26</v>
      </c>
      <c r="G389" s="17" t="str">
        <f>'Demographic Descriptions'!A7</f>
        <v>BU 5</v>
      </c>
      <c r="H389" s="17">
        <f ca="1">COUNTIFS('Tracking Sheet'!$AN$5:$AN$504,Calculations!G389,'Tracking Sheet'!$AI$5:$AI$504,"Quarter 4",'Tracking Sheet'!$AX$5:$AX$504,Calculations!$K$1)</f>
        <v>0</v>
      </c>
      <c r="L389" s="17" t="s">
        <v>26</v>
      </c>
      <c r="M389" s="17" t="str">
        <f>'Demographic Descriptions'!A7</f>
        <v>BU 5</v>
      </c>
      <c r="N389" s="17">
        <f ca="1">COUNTIFS('Tracking Sheet'!$AN$5:$AN$504,Calculations!M389,'Tracking Sheet'!$AV$5:$AV$504,"Quarter 4",'Tracking Sheet'!$AY$5:$AY$504,Calculations!$K$1)</f>
        <v>0</v>
      </c>
    </row>
    <row r="390" spans="6:14" ht="15.75" customHeight="1">
      <c r="F390" s="17" t="s">
        <v>26</v>
      </c>
      <c r="G390" s="17" t="str">
        <f>'Demographic Descriptions'!A8</f>
        <v>BU 6</v>
      </c>
      <c r="H390" s="17">
        <f ca="1">COUNTIFS('Tracking Sheet'!$AN$5:$AN$504,Calculations!G390,'Tracking Sheet'!$AI$5:$AI$504,"Quarter 4",'Tracking Sheet'!$AX$5:$AX$504,Calculations!$K$1)</f>
        <v>0</v>
      </c>
      <c r="L390" s="17" t="s">
        <v>26</v>
      </c>
      <c r="M390" s="17" t="str">
        <f>'Demographic Descriptions'!A8</f>
        <v>BU 6</v>
      </c>
      <c r="N390" s="17">
        <f ca="1">COUNTIFS('Tracking Sheet'!$AN$5:$AN$504,Calculations!M390,'Tracking Sheet'!$AV$5:$AV$504,"Quarter 4",'Tracking Sheet'!$AY$5:$AY$504,Calculations!$K$1)</f>
        <v>0</v>
      </c>
    </row>
    <row r="391" spans="6:14" ht="15.75" customHeight="1">
      <c r="F391" s="17" t="s">
        <v>26</v>
      </c>
      <c r="G391" s="17" t="str">
        <f>'Demographic Descriptions'!A9</f>
        <v>BU 7</v>
      </c>
      <c r="H391" s="17">
        <f ca="1">COUNTIFS('Tracking Sheet'!$AN$5:$AN$504,Calculations!G391,'Tracking Sheet'!$AI$5:$AI$504,"Quarter 4",'Tracking Sheet'!$AX$5:$AX$504,Calculations!$K$1)</f>
        <v>0</v>
      </c>
      <c r="L391" s="17" t="s">
        <v>26</v>
      </c>
      <c r="M391" s="17" t="str">
        <f>'Demographic Descriptions'!A9</f>
        <v>BU 7</v>
      </c>
      <c r="N391" s="17">
        <f ca="1">COUNTIFS('Tracking Sheet'!$AN$5:$AN$504,Calculations!M391,'Tracking Sheet'!$AV$5:$AV$504,"Quarter 4",'Tracking Sheet'!$AY$5:$AY$504,Calculations!$K$1)</f>
        <v>0</v>
      </c>
    </row>
    <row r="392" spans="6:14" ht="15.75" customHeight="1">
      <c r="F392" s="17" t="s">
        <v>26</v>
      </c>
      <c r="G392" s="17" t="str">
        <f>'Demographic Descriptions'!A10</f>
        <v>BU 8</v>
      </c>
      <c r="H392" s="17">
        <f ca="1">COUNTIFS('Tracking Sheet'!$AN$5:$AN$504,Calculations!G392,'Tracking Sheet'!$AI$5:$AI$504,"Quarter 4",'Tracking Sheet'!$AX$5:$AX$504,Calculations!$K$1)</f>
        <v>0</v>
      </c>
      <c r="L392" s="17" t="s">
        <v>26</v>
      </c>
      <c r="M392" s="17" t="str">
        <f>'Demographic Descriptions'!A10</f>
        <v>BU 8</v>
      </c>
      <c r="N392" s="17">
        <f ca="1">COUNTIFS('Tracking Sheet'!$AN$5:$AN$504,Calculations!M392,'Tracking Sheet'!$AV$5:$AV$504,"Quarter 4",'Tracking Sheet'!$AY$5:$AY$504,Calculations!$K$1)</f>
        <v>0</v>
      </c>
    </row>
    <row r="393" spans="6:14" ht="15.75" customHeight="1">
      <c r="F393" s="17" t="s">
        <v>26</v>
      </c>
      <c r="G393" s="17" t="str">
        <f>'Demographic Descriptions'!A11</f>
        <v>BU 9</v>
      </c>
      <c r="H393" s="17">
        <f ca="1">COUNTIFS('Tracking Sheet'!$AN$5:$AN$504,Calculations!G393,'Tracking Sheet'!$AI$5:$AI$504,"Quarter 4",'Tracking Sheet'!$AX$5:$AX$504,Calculations!$K$1)</f>
        <v>0</v>
      </c>
      <c r="L393" s="17" t="s">
        <v>26</v>
      </c>
      <c r="M393" s="17" t="str">
        <f>'Demographic Descriptions'!A11</f>
        <v>BU 9</v>
      </c>
      <c r="N393" s="17">
        <f ca="1">COUNTIFS('Tracking Sheet'!$AN$5:$AN$504,Calculations!M393,'Tracking Sheet'!$AV$5:$AV$504,"Quarter 4",'Tracking Sheet'!$AY$5:$AY$504,Calculations!$K$1)</f>
        <v>0</v>
      </c>
    </row>
    <row r="394" spans="6:14" ht="15.75" customHeight="1">
      <c r="F394" s="17" t="s">
        <v>26</v>
      </c>
      <c r="G394" s="17" t="str">
        <f>'Demographic Descriptions'!A12</f>
        <v>BU 10</v>
      </c>
      <c r="H394" s="17">
        <f ca="1">COUNTIFS('Tracking Sheet'!$AN$5:$AN$504,Calculations!G394,'Tracking Sheet'!$AI$5:$AI$504,"Quarter 4",'Tracking Sheet'!$AX$5:$AX$504,Calculations!$K$1)</f>
        <v>0</v>
      </c>
      <c r="L394" s="17" t="s">
        <v>26</v>
      </c>
      <c r="M394" s="17" t="str">
        <f>'Demographic Descriptions'!A12</f>
        <v>BU 10</v>
      </c>
      <c r="N394" s="17">
        <f ca="1">COUNTIFS('Tracking Sheet'!$AN$5:$AN$504,Calculations!M394,'Tracking Sheet'!$AV$5:$AV$504,"Quarter 4",'Tracking Sheet'!$AY$5:$AY$504,Calculations!$K$1)</f>
        <v>0</v>
      </c>
    </row>
    <row r="395" spans="6:14" ht="15.75" customHeight="1">
      <c r="F395" s="17" t="s">
        <v>26</v>
      </c>
      <c r="G395" s="17" t="str">
        <f>'Demographic Descriptions'!A13</f>
        <v>BU 11</v>
      </c>
      <c r="H395" s="17">
        <f ca="1">COUNTIFS('Tracking Sheet'!$AN$5:$AN$504,Calculations!G395,'Tracking Sheet'!$AI$5:$AI$504,"Quarter 4",'Tracking Sheet'!$AX$5:$AX$504,Calculations!$K$1)</f>
        <v>0</v>
      </c>
      <c r="L395" s="17" t="s">
        <v>26</v>
      </c>
      <c r="M395" s="17" t="str">
        <f>'Demographic Descriptions'!A13</f>
        <v>BU 11</v>
      </c>
      <c r="N395" s="17">
        <f ca="1">COUNTIFS('Tracking Sheet'!$AN$5:$AN$504,Calculations!M395,'Tracking Sheet'!$AV$5:$AV$504,"Quarter 4",'Tracking Sheet'!$AY$5:$AY$504,Calculations!$K$1)</f>
        <v>0</v>
      </c>
    </row>
    <row r="396" spans="6:14" ht="15.75" customHeight="1">
      <c r="F396" s="17" t="s">
        <v>26</v>
      </c>
      <c r="G396" s="17" t="str">
        <f>'Demographic Descriptions'!A14</f>
        <v>BU 12</v>
      </c>
      <c r="H396" s="17">
        <f ca="1">COUNTIFS('Tracking Sheet'!$AN$5:$AN$504,Calculations!G396,'Tracking Sheet'!$AI$5:$AI$504,"Quarter 4",'Tracking Sheet'!$AX$5:$AX$504,Calculations!$K$1)</f>
        <v>0</v>
      </c>
      <c r="L396" s="17" t="s">
        <v>26</v>
      </c>
      <c r="M396" s="17" t="str">
        <f>'Demographic Descriptions'!A14</f>
        <v>BU 12</v>
      </c>
      <c r="N396" s="17">
        <f ca="1">COUNTIFS('Tracking Sheet'!$AN$5:$AN$504,Calculations!M396,'Tracking Sheet'!$AV$5:$AV$504,"Quarter 4",'Tracking Sheet'!$AY$5:$AY$504,Calculations!$K$1)</f>
        <v>0</v>
      </c>
    </row>
    <row r="397" spans="6:14" ht="15.75" customHeight="1">
      <c r="F397" s="17" t="s">
        <v>26</v>
      </c>
      <c r="G397" s="17" t="str">
        <f>'Demographic Descriptions'!A15</f>
        <v>BU 13</v>
      </c>
      <c r="H397" s="17">
        <f ca="1">COUNTIFS('Tracking Sheet'!$AN$5:$AN$504,Calculations!G397,'Tracking Sheet'!$AI$5:$AI$504,"Quarter 4",'Tracking Sheet'!$AX$5:$AX$504,Calculations!$K$1)</f>
        <v>0</v>
      </c>
      <c r="L397" s="17" t="s">
        <v>26</v>
      </c>
      <c r="M397" s="17" t="str">
        <f>'Demographic Descriptions'!A15</f>
        <v>BU 13</v>
      </c>
      <c r="N397" s="17">
        <f ca="1">COUNTIFS('Tracking Sheet'!$AN$5:$AN$504,Calculations!M397,'Tracking Sheet'!$AV$5:$AV$504,"Quarter 4",'Tracking Sheet'!$AY$5:$AY$504,Calculations!$K$1)</f>
        <v>0</v>
      </c>
    </row>
    <row r="398" spans="6:14" ht="15.75" customHeight="1" thickBot="1">
      <c r="F398" s="20" t="s">
        <v>26</v>
      </c>
      <c r="G398" s="20" t="str">
        <f>'Demographic Descriptions'!A16</f>
        <v>BU 14</v>
      </c>
      <c r="H398" s="20">
        <f ca="1">COUNTIFS('Tracking Sheet'!$AN$5:$AN$504,Calculations!G398,'Tracking Sheet'!$AI$5:$AI$504,"Quarter 4",'Tracking Sheet'!$AX$5:$AX$504,Calculations!$K$1)</f>
        <v>0</v>
      </c>
      <c r="L398" s="20" t="s">
        <v>26</v>
      </c>
      <c r="M398" s="20" t="str">
        <f>'Demographic Descriptions'!A16</f>
        <v>BU 14</v>
      </c>
      <c r="N398" s="20">
        <f ca="1">COUNTIFS('Tracking Sheet'!$AN$5:$AN$504,Calculations!M398,'Tracking Sheet'!$AV$5:$AV$504,"Quarter 4",'Tracking Sheet'!$AY$5:$AY$504,Calculations!$K$1)</f>
        <v>0</v>
      </c>
    </row>
    <row r="399" spans="6:14" ht="15.75" customHeight="1" thickTop="1"/>
    <row r="400" spans="6:14" ht="15.75" customHeight="1">
      <c r="F400" s="24" t="s">
        <v>896</v>
      </c>
      <c r="L400" s="24" t="s">
        <v>897</v>
      </c>
    </row>
    <row r="401" spans="6:16" ht="15.75" customHeight="1">
      <c r="F401" s="17" t="s">
        <v>21</v>
      </c>
      <c r="G401" s="17" t="s">
        <v>206</v>
      </c>
      <c r="H401" s="17">
        <f ca="1">COUNTIFS('Tracking Sheet'!$AO$5:$AO$504,Calculations!G401,'Tracking Sheet'!$AI$5:$AI$504,"Quarter 1",'Tracking Sheet'!$AX$5:$AX$504,Calculations!$K$1)</f>
        <v>0</v>
      </c>
      <c r="I401" s="17" t="str">
        <f>G401</f>
        <v>Employee</v>
      </c>
      <c r="J401" s="17" t="e">
        <f ca="1">IF(H401=0,NA(),H401)</f>
        <v>#N/A</v>
      </c>
      <c r="L401" s="17" t="s">
        <v>21</v>
      </c>
      <c r="M401" s="17" t="s">
        <v>206</v>
      </c>
      <c r="N401" s="17">
        <f ca="1">COUNTIFS('Tracking Sheet'!$AO$5:$AO$504,Calculations!M401,'Tracking Sheet'!$AV$5:$AV$504,"Quarter 1",'Tracking Sheet'!$AY$5:$AY$504,Calculations!$K$1)</f>
        <v>0</v>
      </c>
      <c r="O401" s="17" t="str">
        <f>M401</f>
        <v>Employee</v>
      </c>
      <c r="P401" s="17" t="e">
        <f ca="1">IF(N401=0,NA(),N401)</f>
        <v>#N/A</v>
      </c>
    </row>
    <row r="402" spans="6:16" ht="15.75" customHeight="1">
      <c r="F402" s="17" t="s">
        <v>21</v>
      </c>
      <c r="G402" s="21" t="s">
        <v>898</v>
      </c>
      <c r="H402" s="17">
        <f ca="1">COUNTIFS('Tracking Sheet'!$AO$5:$AO$504,Calculations!G402,'Tracking Sheet'!$AI$5:$AI$504,"Quarter 1",'Tracking Sheet'!$AX$5:$AX$504,Calculations!$K$1)</f>
        <v>0</v>
      </c>
      <c r="I402" s="21" t="str">
        <f t="shared" ref="I402:I406" si="12">G402</f>
        <v>Junior Management</v>
      </c>
      <c r="J402" s="17" t="e">
        <f t="shared" ref="J402:J406" ca="1" si="13">IF(H402=0,NA(),H402)</f>
        <v>#N/A</v>
      </c>
      <c r="L402" s="17" t="s">
        <v>21</v>
      </c>
      <c r="M402" s="21" t="s">
        <v>898</v>
      </c>
      <c r="N402" s="17">
        <f ca="1">COUNTIFS('Tracking Sheet'!$AO$5:$AO$504,Calculations!M402,'Tracking Sheet'!$AV$5:$AV$504,"Quarter 1",'Tracking Sheet'!$AY$5:$AY$504,Calculations!$K$1)</f>
        <v>0</v>
      </c>
      <c r="O402" s="21" t="str">
        <f t="shared" ref="O402:O406" si="14">M402</f>
        <v>Junior Management</v>
      </c>
      <c r="P402" s="17" t="e">
        <f t="shared" ref="P402:P406" ca="1" si="15">IF(N402=0,NA(),N402)</f>
        <v>#N/A</v>
      </c>
    </row>
    <row r="403" spans="6:16" ht="15.75" customHeight="1">
      <c r="F403" s="17" t="s">
        <v>21</v>
      </c>
      <c r="G403" s="21" t="s">
        <v>232</v>
      </c>
      <c r="H403" s="17">
        <f ca="1">COUNTIFS('Tracking Sheet'!$AO$5:$AO$504,Calculations!G403,'Tracking Sheet'!$AI$5:$AI$504,"Quarter 1",'Tracking Sheet'!$AX$5:$AX$504,Calculations!$K$1)</f>
        <v>0</v>
      </c>
      <c r="I403" s="21" t="str">
        <f t="shared" si="12"/>
        <v>Management</v>
      </c>
      <c r="J403" s="17" t="e">
        <f t="shared" ca="1" si="13"/>
        <v>#N/A</v>
      </c>
      <c r="L403" s="17" t="s">
        <v>21</v>
      </c>
      <c r="M403" s="21" t="s">
        <v>232</v>
      </c>
      <c r="N403" s="17">
        <f ca="1">COUNTIFS('Tracking Sheet'!$AO$5:$AO$504,Calculations!M403,'Tracking Sheet'!$AV$5:$AV$504,"Quarter 1",'Tracking Sheet'!$AY$5:$AY$504,Calculations!$K$1)</f>
        <v>0</v>
      </c>
      <c r="O403" s="21" t="str">
        <f t="shared" si="14"/>
        <v>Management</v>
      </c>
      <c r="P403" s="17" t="e">
        <f t="shared" ca="1" si="15"/>
        <v>#N/A</v>
      </c>
    </row>
    <row r="404" spans="6:16" ht="15.75" customHeight="1">
      <c r="F404" s="17" t="s">
        <v>21</v>
      </c>
      <c r="G404" s="21" t="s">
        <v>899</v>
      </c>
      <c r="H404" s="17">
        <f ca="1">COUNTIFS('Tracking Sheet'!$AO$5:$AO$504,Calculations!G404,'Tracking Sheet'!$AI$5:$AI$504,"Quarter 1",'Tracking Sheet'!$AX$5:$AX$504,Calculations!$K$1)</f>
        <v>0</v>
      </c>
      <c r="I404" s="21" t="str">
        <f t="shared" si="12"/>
        <v>Senior Management</v>
      </c>
      <c r="J404" s="17" t="e">
        <f t="shared" ca="1" si="13"/>
        <v>#N/A</v>
      </c>
      <c r="L404" s="17" t="s">
        <v>21</v>
      </c>
      <c r="M404" s="21" t="s">
        <v>899</v>
      </c>
      <c r="N404" s="17">
        <f ca="1">COUNTIFS('Tracking Sheet'!$AO$5:$AO$504,Calculations!M404,'Tracking Sheet'!$AV$5:$AV$504,"Quarter 1",'Tracking Sheet'!$AY$5:$AY$504,Calculations!$K$1)</f>
        <v>0</v>
      </c>
      <c r="O404" s="21" t="str">
        <f t="shared" si="14"/>
        <v>Senior Management</v>
      </c>
      <c r="P404" s="17" t="e">
        <f t="shared" ca="1" si="15"/>
        <v>#N/A</v>
      </c>
    </row>
    <row r="405" spans="6:16" ht="15.75" customHeight="1">
      <c r="F405" s="17" t="s">
        <v>21</v>
      </c>
      <c r="G405" s="21" t="s">
        <v>259</v>
      </c>
      <c r="H405" s="17">
        <f ca="1">COUNTIFS('Tracking Sheet'!$AO$5:$AO$504,Calculations!G405,'Tracking Sheet'!$AI$5:$AI$504,"Quarter 1",'Tracking Sheet'!$AX$5:$AX$504,Calculations!$K$1)</f>
        <v>0</v>
      </c>
      <c r="I405" s="21" t="str">
        <f t="shared" si="12"/>
        <v>Specialist</v>
      </c>
      <c r="J405" s="17" t="e">
        <f t="shared" ca="1" si="13"/>
        <v>#N/A</v>
      </c>
      <c r="L405" s="17" t="s">
        <v>21</v>
      </c>
      <c r="M405" s="21" t="s">
        <v>259</v>
      </c>
      <c r="N405" s="17">
        <f ca="1">COUNTIFS('Tracking Sheet'!$AO$5:$AO$504,Calculations!M405,'Tracking Sheet'!$AV$5:$AV$504,"Quarter 1",'Tracking Sheet'!$AY$5:$AY$504,Calculations!$K$1)</f>
        <v>0</v>
      </c>
      <c r="O405" s="21" t="str">
        <f t="shared" si="14"/>
        <v>Specialist</v>
      </c>
      <c r="P405" s="17" t="e">
        <f t="shared" ca="1" si="15"/>
        <v>#N/A</v>
      </c>
    </row>
    <row r="406" spans="6:16" ht="15.75" customHeight="1" thickBot="1">
      <c r="F406" s="20" t="s">
        <v>21</v>
      </c>
      <c r="G406" s="20" t="s">
        <v>311</v>
      </c>
      <c r="H406" s="20">
        <f ca="1">COUNTIFS('Tracking Sheet'!$AO$5:$AO$504,Calculations!G406,'Tracking Sheet'!$AI$5:$AI$504,"Quarter 1",'Tracking Sheet'!$AX$5:$AX$504,Calculations!$K$1)</f>
        <v>0</v>
      </c>
      <c r="I406" s="20" t="str">
        <f t="shared" si="12"/>
        <v>Executive</v>
      </c>
      <c r="J406" s="20" t="e">
        <f t="shared" ca="1" si="13"/>
        <v>#N/A</v>
      </c>
      <c r="L406" s="20" t="s">
        <v>21</v>
      </c>
      <c r="M406" s="20" t="s">
        <v>311</v>
      </c>
      <c r="N406" s="20">
        <f ca="1">COUNTIFS('Tracking Sheet'!$AO$5:$AO$504,Calculations!M406,'Tracking Sheet'!$AV$5:$AV$504,"Quarter 1",'Tracking Sheet'!$AY$5:$AY$504,Calculations!$K$1)</f>
        <v>0</v>
      </c>
      <c r="O406" s="20" t="str">
        <f t="shared" si="14"/>
        <v>Executive</v>
      </c>
      <c r="P406" s="20" t="e">
        <f t="shared" ca="1" si="15"/>
        <v>#N/A</v>
      </c>
    </row>
    <row r="407" spans="6:16" ht="15.75" customHeight="1" thickTop="1">
      <c r="F407" s="17" t="s">
        <v>22</v>
      </c>
      <c r="G407" s="17" t="s">
        <v>206</v>
      </c>
      <c r="H407" s="17">
        <f ca="1">COUNTIFS('Tracking Sheet'!$AO$5:$AO$504,Calculations!G407,'Tracking Sheet'!$AI$5:$AI$504,"Quarter 2",'Tracking Sheet'!$AX$5:$AX$504,Calculations!$K$1)</f>
        <v>0</v>
      </c>
      <c r="I407" s="17" t="str">
        <f>G407</f>
        <v>Employee</v>
      </c>
      <c r="J407" s="17" t="e">
        <f ca="1">IF(H407=0,NA(),H407)</f>
        <v>#N/A</v>
      </c>
      <c r="L407" s="17" t="s">
        <v>22</v>
      </c>
      <c r="M407" s="17" t="s">
        <v>206</v>
      </c>
      <c r="N407" s="17">
        <f ca="1">COUNTIFS('Tracking Sheet'!$AO$5:$AO$504,Calculations!M407,'Tracking Sheet'!$AV$5:$AV$504,"Quarter 2",'Tracking Sheet'!$AY$5:$AY$504,Calculations!$K$1)</f>
        <v>0</v>
      </c>
      <c r="O407" s="17" t="str">
        <f>M407</f>
        <v>Employee</v>
      </c>
      <c r="P407" s="17" t="e">
        <f ca="1">IF(N407=0,NA(),N407)</f>
        <v>#N/A</v>
      </c>
    </row>
    <row r="408" spans="6:16" ht="15.75" customHeight="1">
      <c r="F408" s="17" t="s">
        <v>22</v>
      </c>
      <c r="G408" s="21" t="s">
        <v>898</v>
      </c>
      <c r="H408" s="17">
        <f ca="1">COUNTIFS('Tracking Sheet'!$AO$5:$AO$504,Calculations!G408,'Tracking Sheet'!$AI$5:$AI$504,"Quarter 2",'Tracking Sheet'!$AX$5:$AX$504,Calculations!$K$1)</f>
        <v>0</v>
      </c>
      <c r="I408" s="21" t="str">
        <f t="shared" ref="I408:I412" si="16">G408</f>
        <v>Junior Management</v>
      </c>
      <c r="J408" s="17" t="e">
        <f t="shared" ref="J408:J412" ca="1" si="17">IF(H408=0,NA(),H408)</f>
        <v>#N/A</v>
      </c>
      <c r="L408" s="17" t="s">
        <v>22</v>
      </c>
      <c r="M408" s="21" t="s">
        <v>898</v>
      </c>
      <c r="N408" s="17">
        <f ca="1">COUNTIFS('Tracking Sheet'!$AO$5:$AO$504,Calculations!M408,'Tracking Sheet'!$AV$5:$AV$504,"Quarter 2",'Tracking Sheet'!$AY$5:$AY$504,Calculations!$K$1)</f>
        <v>0</v>
      </c>
      <c r="O408" s="21" t="str">
        <f t="shared" ref="O408:O412" si="18">M408</f>
        <v>Junior Management</v>
      </c>
      <c r="P408" s="17" t="e">
        <f t="shared" ref="P408:P412" ca="1" si="19">IF(N408=0,NA(),N408)</f>
        <v>#N/A</v>
      </c>
    </row>
    <row r="409" spans="6:16" ht="15.75" customHeight="1">
      <c r="F409" s="17" t="s">
        <v>22</v>
      </c>
      <c r="G409" s="21" t="s">
        <v>232</v>
      </c>
      <c r="H409" s="17">
        <f ca="1">COUNTIFS('Tracking Sheet'!$AO$5:$AO$504,Calculations!G409,'Tracking Sheet'!$AI$5:$AI$504,"Quarter 2",'Tracking Sheet'!$AX$5:$AX$504,Calculations!$K$1)</f>
        <v>0</v>
      </c>
      <c r="I409" s="21" t="str">
        <f t="shared" si="16"/>
        <v>Management</v>
      </c>
      <c r="J409" s="17" t="e">
        <f t="shared" ca="1" si="17"/>
        <v>#N/A</v>
      </c>
      <c r="L409" s="17" t="s">
        <v>22</v>
      </c>
      <c r="M409" s="21" t="s">
        <v>232</v>
      </c>
      <c r="N409" s="17">
        <f ca="1">COUNTIFS('Tracking Sheet'!$AO$5:$AO$504,Calculations!M409,'Tracking Sheet'!$AV$5:$AV$504,"Quarter 2",'Tracking Sheet'!$AY$5:$AY$504,Calculations!$K$1)</f>
        <v>0</v>
      </c>
      <c r="O409" s="21" t="str">
        <f t="shared" si="18"/>
        <v>Management</v>
      </c>
      <c r="P409" s="17" t="e">
        <f t="shared" ca="1" si="19"/>
        <v>#N/A</v>
      </c>
    </row>
    <row r="410" spans="6:16" ht="15.75" customHeight="1">
      <c r="F410" s="17" t="s">
        <v>22</v>
      </c>
      <c r="G410" s="21" t="s">
        <v>899</v>
      </c>
      <c r="H410" s="17">
        <f ca="1">COUNTIFS('Tracking Sheet'!$AO$5:$AO$504,Calculations!G410,'Tracking Sheet'!$AI$5:$AI$504,"Quarter 2",'Tracking Sheet'!$AX$5:$AX$504,Calculations!$K$1)</f>
        <v>0</v>
      </c>
      <c r="I410" s="21" t="str">
        <f t="shared" si="16"/>
        <v>Senior Management</v>
      </c>
      <c r="J410" s="17" t="e">
        <f t="shared" ca="1" si="17"/>
        <v>#N/A</v>
      </c>
      <c r="L410" s="17" t="s">
        <v>22</v>
      </c>
      <c r="M410" s="21" t="s">
        <v>899</v>
      </c>
      <c r="N410" s="17">
        <f ca="1">COUNTIFS('Tracking Sheet'!$AO$5:$AO$504,Calculations!M410,'Tracking Sheet'!$AV$5:$AV$504,"Quarter 2",'Tracking Sheet'!$AY$5:$AY$504,Calculations!$K$1)</f>
        <v>0</v>
      </c>
      <c r="O410" s="21" t="str">
        <f t="shared" si="18"/>
        <v>Senior Management</v>
      </c>
      <c r="P410" s="17" t="e">
        <f t="shared" ca="1" si="19"/>
        <v>#N/A</v>
      </c>
    </row>
    <row r="411" spans="6:16" ht="15.75" customHeight="1">
      <c r="F411" s="17" t="s">
        <v>22</v>
      </c>
      <c r="G411" s="21" t="s">
        <v>259</v>
      </c>
      <c r="H411" s="17">
        <f ca="1">COUNTIFS('Tracking Sheet'!$AO$5:$AO$504,Calculations!G411,'Tracking Sheet'!$AI$5:$AI$504,"Quarter 2",'Tracking Sheet'!$AX$5:$AX$504,Calculations!$K$1)</f>
        <v>0</v>
      </c>
      <c r="I411" s="21" t="str">
        <f t="shared" si="16"/>
        <v>Specialist</v>
      </c>
      <c r="J411" s="17" t="e">
        <f t="shared" ca="1" si="17"/>
        <v>#N/A</v>
      </c>
      <c r="L411" s="17" t="s">
        <v>22</v>
      </c>
      <c r="M411" s="21" t="s">
        <v>259</v>
      </c>
      <c r="N411" s="17">
        <f ca="1">COUNTIFS('Tracking Sheet'!$AO$5:$AO$504,Calculations!M411,'Tracking Sheet'!$AV$5:$AV$504,"Quarter 2",'Tracking Sheet'!$AY$5:$AY$504,Calculations!$K$1)</f>
        <v>0</v>
      </c>
      <c r="O411" s="21" t="str">
        <f t="shared" si="18"/>
        <v>Specialist</v>
      </c>
      <c r="P411" s="17" t="e">
        <f t="shared" ca="1" si="19"/>
        <v>#N/A</v>
      </c>
    </row>
    <row r="412" spans="6:16" ht="15.75" customHeight="1" thickBot="1">
      <c r="F412" s="20" t="s">
        <v>22</v>
      </c>
      <c r="G412" s="20" t="s">
        <v>311</v>
      </c>
      <c r="H412" s="20">
        <f ca="1">COUNTIFS('Tracking Sheet'!$AO$5:$AO$504,Calculations!G412,'Tracking Sheet'!$AI$5:$AI$504,"Quarter 2",'Tracking Sheet'!$AX$5:$AX$504,Calculations!$K$1)</f>
        <v>0</v>
      </c>
      <c r="I412" s="20" t="str">
        <f t="shared" si="16"/>
        <v>Executive</v>
      </c>
      <c r="J412" s="20" t="e">
        <f t="shared" ca="1" si="17"/>
        <v>#N/A</v>
      </c>
      <c r="L412" s="20" t="s">
        <v>22</v>
      </c>
      <c r="M412" s="20" t="s">
        <v>311</v>
      </c>
      <c r="N412" s="20">
        <f ca="1">COUNTIFS('Tracking Sheet'!$AO$5:$AO$504,Calculations!M412,'Tracking Sheet'!$AV$5:$AV$504,"Quarter 2",'Tracking Sheet'!$AY$5:$AY$504,Calculations!$K$1)</f>
        <v>0</v>
      </c>
      <c r="O412" s="20" t="str">
        <f t="shared" si="18"/>
        <v>Executive</v>
      </c>
      <c r="P412" s="20" t="e">
        <f t="shared" ca="1" si="19"/>
        <v>#N/A</v>
      </c>
    </row>
    <row r="413" spans="6:16" ht="15.75" customHeight="1" thickTop="1">
      <c r="F413" s="17" t="s">
        <v>25</v>
      </c>
      <c r="G413" s="17" t="s">
        <v>206</v>
      </c>
      <c r="H413" s="17">
        <f ca="1">COUNTIFS('Tracking Sheet'!$AO$5:$AO$504,Calculations!G413,'Tracking Sheet'!$AI$5:$AI$504,"Quarter 3",'Tracking Sheet'!$AX$5:$AX$504,Calculations!$K$1)</f>
        <v>0</v>
      </c>
      <c r="I413" s="17" t="str">
        <f>G413</f>
        <v>Employee</v>
      </c>
      <c r="J413" s="17" t="e">
        <f ca="1">IF(H413=0,NA(),H413)</f>
        <v>#N/A</v>
      </c>
      <c r="L413" s="17" t="s">
        <v>25</v>
      </c>
      <c r="M413" s="17" t="s">
        <v>206</v>
      </c>
      <c r="N413" s="17">
        <f ca="1">COUNTIFS('Tracking Sheet'!$AO$5:$AO$504,Calculations!M413,'Tracking Sheet'!$AV$5:$AV$504,"Quarter 3",'Tracking Sheet'!$AY$5:$AY$504,Calculations!$K$1)</f>
        <v>0</v>
      </c>
      <c r="O413" s="17" t="str">
        <f>M413</f>
        <v>Employee</v>
      </c>
      <c r="P413" s="17" t="e">
        <f ca="1">IF(N413=0,NA(),N413)</f>
        <v>#N/A</v>
      </c>
    </row>
    <row r="414" spans="6:16" ht="15.75" customHeight="1">
      <c r="F414" s="17" t="s">
        <v>25</v>
      </c>
      <c r="G414" s="21" t="s">
        <v>898</v>
      </c>
      <c r="H414" s="17">
        <f ca="1">COUNTIFS('Tracking Sheet'!$AO$5:$AO$504,Calculations!G414,'Tracking Sheet'!$AI$5:$AI$504,"Quarter 3",'Tracking Sheet'!$AX$5:$AX$504,Calculations!$K$1)</f>
        <v>0</v>
      </c>
      <c r="I414" s="21" t="str">
        <f t="shared" ref="I414:I418" si="20">G414</f>
        <v>Junior Management</v>
      </c>
      <c r="J414" s="17" t="e">
        <f t="shared" ref="J414:J418" ca="1" si="21">IF(H414=0,NA(),H414)</f>
        <v>#N/A</v>
      </c>
      <c r="L414" s="17" t="s">
        <v>25</v>
      </c>
      <c r="M414" s="21" t="s">
        <v>898</v>
      </c>
      <c r="N414" s="17">
        <f ca="1">COUNTIFS('Tracking Sheet'!$AO$5:$AO$504,Calculations!M414,'Tracking Sheet'!$AV$5:$AV$504,"Quarter 3",'Tracking Sheet'!$AY$5:$AY$504,Calculations!$K$1)</f>
        <v>0</v>
      </c>
      <c r="O414" s="21" t="str">
        <f t="shared" ref="O414:O418" si="22">M414</f>
        <v>Junior Management</v>
      </c>
      <c r="P414" s="17" t="e">
        <f t="shared" ref="P414:P418" ca="1" si="23">IF(N414=0,NA(),N414)</f>
        <v>#N/A</v>
      </c>
    </row>
    <row r="415" spans="6:16" ht="15.75" customHeight="1">
      <c r="F415" s="17" t="s">
        <v>25</v>
      </c>
      <c r="G415" s="21" t="s">
        <v>232</v>
      </c>
      <c r="H415" s="17">
        <f ca="1">COUNTIFS('Tracking Sheet'!$AO$5:$AO$504,Calculations!G415,'Tracking Sheet'!$AI$5:$AI$504,"Quarter 3",'Tracking Sheet'!$AX$5:$AX$504,Calculations!$K$1)</f>
        <v>0</v>
      </c>
      <c r="I415" s="21" t="str">
        <f t="shared" si="20"/>
        <v>Management</v>
      </c>
      <c r="J415" s="17" t="e">
        <f t="shared" ca="1" si="21"/>
        <v>#N/A</v>
      </c>
      <c r="L415" s="17" t="s">
        <v>25</v>
      </c>
      <c r="M415" s="21" t="s">
        <v>232</v>
      </c>
      <c r="N415" s="17">
        <f ca="1">COUNTIFS('Tracking Sheet'!$AO$5:$AO$504,Calculations!M415,'Tracking Sheet'!$AV$5:$AV$504,"Quarter 3",'Tracking Sheet'!$AY$5:$AY$504,Calculations!$K$1)</f>
        <v>0</v>
      </c>
      <c r="O415" s="21" t="str">
        <f t="shared" si="22"/>
        <v>Management</v>
      </c>
      <c r="P415" s="17" t="e">
        <f t="shared" ca="1" si="23"/>
        <v>#N/A</v>
      </c>
    </row>
    <row r="416" spans="6:16" ht="15.75" customHeight="1">
      <c r="F416" s="17" t="s">
        <v>25</v>
      </c>
      <c r="G416" s="21" t="s">
        <v>899</v>
      </c>
      <c r="H416" s="17">
        <f ca="1">COUNTIFS('Tracking Sheet'!$AO$5:$AO$504,Calculations!G416,'Tracking Sheet'!$AI$5:$AI$504,"Quarter 3",'Tracking Sheet'!$AX$5:$AX$504,Calculations!$K$1)</f>
        <v>0</v>
      </c>
      <c r="I416" s="21" t="str">
        <f t="shared" si="20"/>
        <v>Senior Management</v>
      </c>
      <c r="J416" s="17" t="e">
        <f t="shared" ca="1" si="21"/>
        <v>#N/A</v>
      </c>
      <c r="L416" s="17" t="s">
        <v>25</v>
      </c>
      <c r="M416" s="21" t="s">
        <v>899</v>
      </c>
      <c r="N416" s="17">
        <f ca="1">COUNTIFS('Tracking Sheet'!$AO$5:$AO$504,Calculations!M416,'Tracking Sheet'!$AV$5:$AV$504,"Quarter 3",'Tracking Sheet'!$AY$5:$AY$504,Calculations!$K$1)</f>
        <v>0</v>
      </c>
      <c r="O416" s="21" t="str">
        <f t="shared" si="22"/>
        <v>Senior Management</v>
      </c>
      <c r="P416" s="17" t="e">
        <f t="shared" ca="1" si="23"/>
        <v>#N/A</v>
      </c>
    </row>
    <row r="417" spans="6:16" ht="15.75" customHeight="1">
      <c r="F417" s="17" t="s">
        <v>25</v>
      </c>
      <c r="G417" s="21" t="s">
        <v>259</v>
      </c>
      <c r="H417" s="17">
        <f ca="1">COUNTIFS('Tracking Sheet'!$AO$5:$AO$504,Calculations!G417,'Tracking Sheet'!$AI$5:$AI$504,"Quarter 3",'Tracking Sheet'!$AX$5:$AX$504,Calculations!$K$1)</f>
        <v>0</v>
      </c>
      <c r="I417" s="21" t="str">
        <f t="shared" si="20"/>
        <v>Specialist</v>
      </c>
      <c r="J417" s="17" t="e">
        <f t="shared" ca="1" si="21"/>
        <v>#N/A</v>
      </c>
      <c r="L417" s="17" t="s">
        <v>25</v>
      </c>
      <c r="M417" s="21" t="s">
        <v>259</v>
      </c>
      <c r="N417" s="17">
        <f ca="1">COUNTIFS('Tracking Sheet'!$AO$5:$AO$504,Calculations!M417,'Tracking Sheet'!$AV$5:$AV$504,"Quarter 3",'Tracking Sheet'!$AY$5:$AY$504,Calculations!$K$1)</f>
        <v>0</v>
      </c>
      <c r="O417" s="21" t="str">
        <f t="shared" si="22"/>
        <v>Specialist</v>
      </c>
      <c r="P417" s="17" t="e">
        <f t="shared" ca="1" si="23"/>
        <v>#N/A</v>
      </c>
    </row>
    <row r="418" spans="6:16" ht="15.75" customHeight="1" thickBot="1">
      <c r="F418" s="20" t="s">
        <v>25</v>
      </c>
      <c r="G418" s="20" t="s">
        <v>311</v>
      </c>
      <c r="H418" s="20">
        <f ca="1">COUNTIFS('Tracking Sheet'!$AO$5:$AO$504,Calculations!G418,'Tracking Sheet'!$AI$5:$AI$504,"Quarter 3",'Tracking Sheet'!$AX$5:$AX$504,Calculations!$K$1)</f>
        <v>0</v>
      </c>
      <c r="I418" s="20" t="str">
        <f t="shared" si="20"/>
        <v>Executive</v>
      </c>
      <c r="J418" s="20" t="e">
        <f t="shared" ca="1" si="21"/>
        <v>#N/A</v>
      </c>
      <c r="L418" s="20" t="s">
        <v>25</v>
      </c>
      <c r="M418" s="20" t="s">
        <v>311</v>
      </c>
      <c r="N418" s="20">
        <f ca="1">COUNTIFS('Tracking Sheet'!$AO$5:$AO$504,Calculations!M418,'Tracking Sheet'!$AV$5:$AV$504,"Quarter 3",'Tracking Sheet'!$AY$5:$AY$504,Calculations!$K$1)</f>
        <v>0</v>
      </c>
      <c r="O418" s="20" t="str">
        <f t="shared" si="22"/>
        <v>Executive</v>
      </c>
      <c r="P418" s="20" t="e">
        <f t="shared" ca="1" si="23"/>
        <v>#N/A</v>
      </c>
    </row>
    <row r="419" spans="6:16" ht="15.75" customHeight="1" thickTop="1">
      <c r="F419" s="17" t="s">
        <v>26</v>
      </c>
      <c r="G419" s="17" t="s">
        <v>206</v>
      </c>
      <c r="H419" s="17">
        <f ca="1">COUNTIFS('Tracking Sheet'!$AO$5:$AO$504,Calculations!G419,'Tracking Sheet'!$AI$5:$AI$504,"Quarter 4",'Tracking Sheet'!$AX$5:$AX$504,Calculations!$K$1)</f>
        <v>0</v>
      </c>
      <c r="I419" s="17" t="str">
        <f>G419</f>
        <v>Employee</v>
      </c>
      <c r="J419" s="17" t="e">
        <f ca="1">IF(H419=0,NA(),H419)</f>
        <v>#N/A</v>
      </c>
      <c r="L419" s="17" t="s">
        <v>26</v>
      </c>
      <c r="M419" s="17" t="s">
        <v>206</v>
      </c>
      <c r="N419" s="17">
        <f ca="1">COUNTIFS('Tracking Sheet'!$AO$5:$AO$504,Calculations!M419,'Tracking Sheet'!$AV$5:$AV$504,"Quarter 4",'Tracking Sheet'!$AY$5:$AY$504,Calculations!$K$1)</f>
        <v>0</v>
      </c>
      <c r="O419" s="17" t="str">
        <f>M419</f>
        <v>Employee</v>
      </c>
      <c r="P419" s="17" t="e">
        <f ca="1">IF(N419=0,NA(),N419)</f>
        <v>#N/A</v>
      </c>
    </row>
    <row r="420" spans="6:16" ht="15.75" customHeight="1">
      <c r="F420" s="17" t="s">
        <v>26</v>
      </c>
      <c r="G420" s="21" t="s">
        <v>898</v>
      </c>
      <c r="H420" s="17">
        <f ca="1">COUNTIFS('Tracking Sheet'!$AO$5:$AO$504,Calculations!G420,'Tracking Sheet'!$AI$5:$AI$504,"Quarter 4",'Tracking Sheet'!$AX$5:$AX$504,Calculations!$K$1)</f>
        <v>0</v>
      </c>
      <c r="I420" s="21" t="str">
        <f t="shared" ref="I420:I424" si="24">G420</f>
        <v>Junior Management</v>
      </c>
      <c r="J420" s="17" t="e">
        <f t="shared" ref="J420:J424" ca="1" si="25">IF(H420=0,NA(),H420)</f>
        <v>#N/A</v>
      </c>
      <c r="L420" s="17" t="s">
        <v>26</v>
      </c>
      <c r="M420" s="21" t="s">
        <v>898</v>
      </c>
      <c r="N420" s="17">
        <f ca="1">COUNTIFS('Tracking Sheet'!$AO$5:$AO$504,Calculations!M420,'Tracking Sheet'!$AV$5:$AV$504,"Quarter 4",'Tracking Sheet'!$AY$5:$AY$504,Calculations!$K$1)</f>
        <v>0</v>
      </c>
      <c r="O420" s="21" t="str">
        <f t="shared" ref="O420:O424" si="26">M420</f>
        <v>Junior Management</v>
      </c>
      <c r="P420" s="17" t="e">
        <f t="shared" ref="P420:P424" ca="1" si="27">IF(N420=0,NA(),N420)</f>
        <v>#N/A</v>
      </c>
    </row>
    <row r="421" spans="6:16" ht="15.75" customHeight="1">
      <c r="F421" s="17" t="s">
        <v>26</v>
      </c>
      <c r="G421" s="21" t="s">
        <v>232</v>
      </c>
      <c r="H421" s="17">
        <f ca="1">COUNTIFS('Tracking Sheet'!$AO$5:$AO$504,Calculations!G421,'Tracking Sheet'!$AI$5:$AI$504,"Quarter 4",'Tracking Sheet'!$AX$5:$AX$504,Calculations!$K$1)</f>
        <v>0</v>
      </c>
      <c r="I421" s="21" t="str">
        <f t="shared" si="24"/>
        <v>Management</v>
      </c>
      <c r="J421" s="17" t="e">
        <f t="shared" ca="1" si="25"/>
        <v>#N/A</v>
      </c>
      <c r="L421" s="17" t="s">
        <v>26</v>
      </c>
      <c r="M421" s="21" t="s">
        <v>232</v>
      </c>
      <c r="N421" s="17">
        <f ca="1">COUNTIFS('Tracking Sheet'!$AO$5:$AO$504,Calculations!M421,'Tracking Sheet'!$AV$5:$AV$504,"Quarter 4",'Tracking Sheet'!$AY$5:$AY$504,Calculations!$K$1)</f>
        <v>0</v>
      </c>
      <c r="O421" s="21" t="str">
        <f t="shared" si="26"/>
        <v>Management</v>
      </c>
      <c r="P421" s="17" t="e">
        <f t="shared" ca="1" si="27"/>
        <v>#N/A</v>
      </c>
    </row>
    <row r="422" spans="6:16" ht="15.75" customHeight="1">
      <c r="F422" s="17" t="s">
        <v>26</v>
      </c>
      <c r="G422" s="21" t="s">
        <v>899</v>
      </c>
      <c r="H422" s="17">
        <f ca="1">COUNTIFS('Tracking Sheet'!$AO$5:$AO$504,Calculations!G422,'Tracking Sheet'!$AI$5:$AI$504,"Quarter 4",'Tracking Sheet'!$AX$5:$AX$504,Calculations!$K$1)</f>
        <v>0</v>
      </c>
      <c r="I422" s="21" t="str">
        <f t="shared" si="24"/>
        <v>Senior Management</v>
      </c>
      <c r="J422" s="17" t="e">
        <f t="shared" ca="1" si="25"/>
        <v>#N/A</v>
      </c>
      <c r="L422" s="17" t="s">
        <v>26</v>
      </c>
      <c r="M422" s="21" t="s">
        <v>899</v>
      </c>
      <c r="N422" s="17">
        <f ca="1">COUNTIFS('Tracking Sheet'!$AO$5:$AO$504,Calculations!M422,'Tracking Sheet'!$AV$5:$AV$504,"Quarter 4",'Tracking Sheet'!$AY$5:$AY$504,Calculations!$K$1)</f>
        <v>0</v>
      </c>
      <c r="O422" s="21" t="str">
        <f t="shared" si="26"/>
        <v>Senior Management</v>
      </c>
      <c r="P422" s="17" t="e">
        <f t="shared" ca="1" si="27"/>
        <v>#N/A</v>
      </c>
    </row>
    <row r="423" spans="6:16" ht="15.75" customHeight="1">
      <c r="F423" s="17" t="s">
        <v>26</v>
      </c>
      <c r="G423" s="21" t="s">
        <v>259</v>
      </c>
      <c r="H423" s="17">
        <f ca="1">COUNTIFS('Tracking Sheet'!$AO$5:$AO$504,Calculations!G423,'Tracking Sheet'!$AI$5:$AI$504,"Quarter 4",'Tracking Sheet'!$AX$5:$AX$504,Calculations!$K$1)</f>
        <v>0</v>
      </c>
      <c r="I423" s="21" t="str">
        <f t="shared" si="24"/>
        <v>Specialist</v>
      </c>
      <c r="J423" s="17" t="e">
        <f t="shared" ca="1" si="25"/>
        <v>#N/A</v>
      </c>
      <c r="L423" s="17" t="s">
        <v>26</v>
      </c>
      <c r="M423" s="21" t="s">
        <v>259</v>
      </c>
      <c r="N423" s="17">
        <f ca="1">COUNTIFS('Tracking Sheet'!$AO$5:$AO$504,Calculations!M423,'Tracking Sheet'!$AV$5:$AV$504,"Quarter 4",'Tracking Sheet'!$AY$5:$AY$504,Calculations!$K$1)</f>
        <v>0</v>
      </c>
      <c r="O423" s="21" t="str">
        <f t="shared" si="26"/>
        <v>Specialist</v>
      </c>
      <c r="P423" s="17" t="e">
        <f t="shared" ca="1" si="27"/>
        <v>#N/A</v>
      </c>
    </row>
    <row r="424" spans="6:16" ht="15.75" customHeight="1" thickBot="1">
      <c r="F424" s="20" t="s">
        <v>26</v>
      </c>
      <c r="G424" s="20" t="s">
        <v>311</v>
      </c>
      <c r="H424" s="20">
        <f ca="1">COUNTIFS('Tracking Sheet'!$AO$5:$AO$504,Calculations!G424,'Tracking Sheet'!$AI$5:$AI$504,"Quarter 4",'Tracking Sheet'!$AX$5:$AX$504,Calculations!$K$1)</f>
        <v>0</v>
      </c>
      <c r="I424" s="20" t="str">
        <f t="shared" si="24"/>
        <v>Executive</v>
      </c>
      <c r="J424" s="20" t="e">
        <f t="shared" ca="1" si="25"/>
        <v>#N/A</v>
      </c>
      <c r="L424" s="20" t="s">
        <v>26</v>
      </c>
      <c r="M424" s="20" t="s">
        <v>311</v>
      </c>
      <c r="N424" s="20">
        <f ca="1">COUNTIFS('Tracking Sheet'!$AO$5:$AO$504,Calculations!M424,'Tracking Sheet'!$AV$5:$AV$504,"Quarter 4",'Tracking Sheet'!$AY$5:$AY$504,Calculations!$K$1)</f>
        <v>0</v>
      </c>
      <c r="O424" s="20" t="str">
        <f t="shared" si="26"/>
        <v>Executive</v>
      </c>
      <c r="P424" s="20" t="e">
        <f t="shared" ca="1" si="27"/>
        <v>#N/A</v>
      </c>
    </row>
    <row r="425" spans="6:16" ht="15.75" customHeight="1" thickTop="1"/>
    <row r="426" spans="6:16" ht="15.75" customHeight="1">
      <c r="F426" s="16" t="s">
        <v>884</v>
      </c>
      <c r="L426" s="16" t="s">
        <v>885</v>
      </c>
    </row>
    <row r="427" spans="6:16" ht="15.75" customHeight="1">
      <c r="F427" s="17" t="s">
        <v>21</v>
      </c>
      <c r="G427" s="17" t="s">
        <v>179</v>
      </c>
      <c r="H427" s="17">
        <f ca="1">COUNTIFS('Tracking Sheet'!$E$5:$E$504,"Female",'Tracking Sheet'!$AX$5:$AX$504,Calculations!$K$1,'Tracking Sheet'!$AI$5:$AI$504,"Quarter 1")</f>
        <v>0</v>
      </c>
      <c r="I427" s="17" t="str">
        <f>G427</f>
        <v>Female</v>
      </c>
      <c r="J427" s="17" t="e">
        <f ca="1">IF(H427=0,NA(),H427)</f>
        <v>#N/A</v>
      </c>
      <c r="L427" s="17" t="s">
        <v>21</v>
      </c>
      <c r="M427" s="17" t="s">
        <v>179</v>
      </c>
      <c r="N427" s="17">
        <f ca="1">COUNTIFS('Tracking Sheet'!$E$5:$E$504,"Female",'Tracking Sheet'!$AY$5:$AY$504,Calculations!$K$1,'Tracking Sheet'!$AV$5:$AV$504,"Quarter 1")</f>
        <v>0</v>
      </c>
      <c r="O427" s="17" t="str">
        <f>M427</f>
        <v>Female</v>
      </c>
      <c r="P427" s="17" t="e">
        <f ca="1">IF(N427=0,NA(),N427)</f>
        <v>#N/A</v>
      </c>
    </row>
    <row r="428" spans="6:16" ht="15.75" customHeight="1">
      <c r="F428" s="17" t="s">
        <v>21</v>
      </c>
      <c r="G428" s="17" t="s">
        <v>196</v>
      </c>
      <c r="H428" s="17">
        <f ca="1">COUNTIFS('Tracking Sheet'!$E$5:$E$504,"Male",'Tracking Sheet'!$AX$5:$AX$504,Calculations!$K$1,'Tracking Sheet'!$AI$5:$AI$504,"Quarter 1")</f>
        <v>0</v>
      </c>
      <c r="I428" s="17" t="str">
        <f t="shared" ref="I428:I431" si="28">G428</f>
        <v>Male</v>
      </c>
      <c r="J428" s="17" t="e">
        <f t="shared" ref="J428:J431" ca="1" si="29">IF(H428=0,NA(),H428)</f>
        <v>#N/A</v>
      </c>
      <c r="L428" s="17" t="s">
        <v>21</v>
      </c>
      <c r="M428" s="17" t="s">
        <v>196</v>
      </c>
      <c r="N428" s="17">
        <f ca="1">COUNTIFS('Tracking Sheet'!$E$5:$E$504,"Male",'Tracking Sheet'!$AY$5:$AY$504,Calculations!$K$1,'Tracking Sheet'!$AV$5:$AV$504,"Quarter 1")</f>
        <v>0</v>
      </c>
      <c r="O428" s="17" t="str">
        <f t="shared" ref="O428:O431" si="30">M428</f>
        <v>Male</v>
      </c>
      <c r="P428" s="17" t="e">
        <f t="shared" ref="P428:P431" ca="1" si="31">IF(N428=0,NA(),N428)</f>
        <v>#N/A</v>
      </c>
    </row>
    <row r="429" spans="6:16" ht="15.75" customHeight="1">
      <c r="F429" s="17" t="s">
        <v>21</v>
      </c>
      <c r="G429" s="17" t="s">
        <v>282</v>
      </c>
      <c r="H429" s="17">
        <f ca="1">COUNTIFS('Tracking Sheet'!$E$5:$E$504,"Nonbinary",'Tracking Sheet'!$AX$5:$AX$504,Calculations!$K$1,'Tracking Sheet'!$AI$5:$AI$504,"Quarter 1")</f>
        <v>0</v>
      </c>
      <c r="I429" s="17" t="str">
        <f t="shared" si="28"/>
        <v>Nonbinary</v>
      </c>
      <c r="J429" s="17" t="e">
        <f t="shared" ca="1" si="29"/>
        <v>#N/A</v>
      </c>
      <c r="L429" s="17" t="s">
        <v>21</v>
      </c>
      <c r="M429" s="17" t="s">
        <v>282</v>
      </c>
      <c r="N429" s="17">
        <f ca="1">COUNTIFS('Tracking Sheet'!$E$5:$E$504,"Nonbinary",'Tracking Sheet'!$AY$5:$AY$504,Calculations!$K$1,'Tracking Sheet'!$AV$5:$AV$504,"Quarter 1")</f>
        <v>0</v>
      </c>
      <c r="O429" s="17" t="str">
        <f t="shared" si="30"/>
        <v>Nonbinary</v>
      </c>
      <c r="P429" s="17" t="e">
        <f t="shared" ca="1" si="31"/>
        <v>#N/A</v>
      </c>
    </row>
    <row r="430" spans="6:16" ht="15.75" customHeight="1">
      <c r="F430" s="25" t="s">
        <v>21</v>
      </c>
      <c r="G430" s="25" t="s">
        <v>220</v>
      </c>
      <c r="H430" s="17">
        <f ca="1">COUNTIFS('Tracking Sheet'!$E$5:$E$504,"Other",'Tracking Sheet'!$AX$5:$AX$504,Calculations!$K$1,'Tracking Sheet'!$AI$5:$AI$504,"Quarter 1")</f>
        <v>0</v>
      </c>
      <c r="I430" s="25" t="str">
        <f t="shared" si="28"/>
        <v>Other</v>
      </c>
      <c r="J430" s="25" t="e">
        <f t="shared" ca="1" si="29"/>
        <v>#N/A</v>
      </c>
      <c r="L430" s="25" t="s">
        <v>21</v>
      </c>
      <c r="M430" s="25" t="s">
        <v>220</v>
      </c>
      <c r="N430" s="17">
        <f ca="1">COUNTIFS('Tracking Sheet'!$E$5:$E$504,"Other",'Tracking Sheet'!$AY$5:$AY$504,Calculations!$K$1,'Tracking Sheet'!$AV$5:$AV$504,"Quarter 1")</f>
        <v>0</v>
      </c>
      <c r="O430" s="17" t="str">
        <f t="shared" si="30"/>
        <v>Other</v>
      </c>
      <c r="P430" s="17" t="e">
        <f t="shared" ca="1" si="31"/>
        <v>#N/A</v>
      </c>
    </row>
    <row r="431" spans="6:16" ht="15.75" customHeight="1" thickBot="1">
      <c r="F431" s="20" t="s">
        <v>21</v>
      </c>
      <c r="G431" s="20" t="s">
        <v>226</v>
      </c>
      <c r="H431" s="20">
        <f ca="1">COUNTIFS('Tracking Sheet'!$E$5:$E$504,"Prefers not to disclose",'Tracking Sheet'!$AX$5:$AX$504,Calculations!$K$1,'Tracking Sheet'!$AI$5:$AI$504,"Quarter 1")</f>
        <v>0</v>
      </c>
      <c r="I431" s="20" t="str">
        <f t="shared" si="28"/>
        <v>Prefers not to disclose</v>
      </c>
      <c r="J431" s="20" t="e">
        <f t="shared" ca="1" si="29"/>
        <v>#N/A</v>
      </c>
      <c r="L431" s="20" t="s">
        <v>21</v>
      </c>
      <c r="M431" s="20" t="s">
        <v>226</v>
      </c>
      <c r="N431" s="20">
        <f ca="1">COUNTIFS('Tracking Sheet'!$E$5:$E$504,"Prefers not to disclose",'Tracking Sheet'!$AY$5:$AY$504,Calculations!$K$1,'Tracking Sheet'!$AV$5:$AV$504,"Quarter 1")</f>
        <v>0</v>
      </c>
      <c r="O431" s="20" t="str">
        <f t="shared" si="30"/>
        <v>Prefers not to disclose</v>
      </c>
      <c r="P431" s="20" t="e">
        <f t="shared" ca="1" si="31"/>
        <v>#N/A</v>
      </c>
    </row>
    <row r="432" spans="6:16" ht="15.75" customHeight="1" thickTop="1">
      <c r="F432" s="21" t="s">
        <v>22</v>
      </c>
      <c r="G432" s="21" t="s">
        <v>179</v>
      </c>
      <c r="H432" s="21">
        <f ca="1">COUNTIFS('Tracking Sheet'!$E$5:$E$504,"Female",'Tracking Sheet'!$AX$5:$AX$504,Calculations!$K$1,'Tracking Sheet'!$AI$5:$AI$504,"Quarter 2")</f>
        <v>0</v>
      </c>
      <c r="I432" s="21" t="str">
        <f>G432</f>
        <v>Female</v>
      </c>
      <c r="J432" s="21" t="e">
        <f ca="1">IF(H432=0,NA(),H432)</f>
        <v>#N/A</v>
      </c>
      <c r="L432" s="21" t="s">
        <v>22</v>
      </c>
      <c r="M432" s="21" t="s">
        <v>179</v>
      </c>
      <c r="N432" s="21">
        <f ca="1">COUNTIFS('Tracking Sheet'!$E$5:$E$504,"Female",'Tracking Sheet'!$AY$5:$AY$504,Calculations!$K$1,'Tracking Sheet'!$AV$5:$AV$504,"Quarter 2")</f>
        <v>0</v>
      </c>
      <c r="O432" s="21" t="str">
        <f>M432</f>
        <v>Female</v>
      </c>
      <c r="P432" s="21" t="e">
        <f ca="1">IF(N432=0,NA(),N432)</f>
        <v>#N/A</v>
      </c>
    </row>
    <row r="433" spans="6:16" ht="15.75" customHeight="1">
      <c r="F433" s="17" t="s">
        <v>22</v>
      </c>
      <c r="G433" s="17" t="s">
        <v>196</v>
      </c>
      <c r="H433" s="17">
        <f ca="1">COUNTIFS('Tracking Sheet'!$E$5:$E$504,"Male",'Tracking Sheet'!$AX$5:$AX$504,Calculations!$K$1,'Tracking Sheet'!$AI$5:$AI$504,"Quarter 2")</f>
        <v>0</v>
      </c>
      <c r="I433" s="17" t="str">
        <f t="shared" ref="I433:I436" si="32">G433</f>
        <v>Male</v>
      </c>
      <c r="J433" s="17" t="e">
        <f t="shared" ref="J433:J436" ca="1" si="33">IF(H433=0,NA(),H433)</f>
        <v>#N/A</v>
      </c>
      <c r="L433" s="17" t="s">
        <v>22</v>
      </c>
      <c r="M433" s="17" t="s">
        <v>196</v>
      </c>
      <c r="N433" s="17">
        <f ca="1">COUNTIFS('Tracking Sheet'!$E$5:$E$504,"Male",'Tracking Sheet'!$AY$5:$AY$504,Calculations!$K$1,'Tracking Sheet'!$AV$5:$AV$504,"Quarter 2")</f>
        <v>0</v>
      </c>
      <c r="O433" s="17" t="str">
        <f t="shared" ref="O433:O436" si="34">M433</f>
        <v>Male</v>
      </c>
      <c r="P433" s="17" t="e">
        <f t="shared" ref="P433:P436" ca="1" si="35">IF(N433=0,NA(),N433)</f>
        <v>#N/A</v>
      </c>
    </row>
    <row r="434" spans="6:16" ht="15.75" customHeight="1">
      <c r="F434" s="17" t="s">
        <v>22</v>
      </c>
      <c r="G434" s="17" t="s">
        <v>282</v>
      </c>
      <c r="H434" s="17">
        <f ca="1">COUNTIFS('Tracking Sheet'!$E$5:$E$504,"Nonbinary",'Tracking Sheet'!$AX$5:$AX$504,Calculations!$K$1,'Tracking Sheet'!$AI$5:$AI$504,"Quarter 2")</f>
        <v>0</v>
      </c>
      <c r="I434" s="17" t="str">
        <f t="shared" si="32"/>
        <v>Nonbinary</v>
      </c>
      <c r="J434" s="17" t="e">
        <f t="shared" ca="1" si="33"/>
        <v>#N/A</v>
      </c>
      <c r="L434" s="17" t="s">
        <v>22</v>
      </c>
      <c r="M434" s="17" t="s">
        <v>282</v>
      </c>
      <c r="N434" s="17">
        <f ca="1">COUNTIFS('Tracking Sheet'!$E$5:$E$504,"Nonbinary",'Tracking Sheet'!$AY$5:$AY$504,Calculations!$K$1,'Tracking Sheet'!$AV$5:$AV$504,"Quarter 2")</f>
        <v>0</v>
      </c>
      <c r="O434" s="17" t="str">
        <f t="shared" si="34"/>
        <v>Nonbinary</v>
      </c>
      <c r="P434" s="17" t="e">
        <f t="shared" ca="1" si="35"/>
        <v>#N/A</v>
      </c>
    </row>
    <row r="435" spans="6:16" ht="15.75" customHeight="1">
      <c r="F435" s="25" t="s">
        <v>22</v>
      </c>
      <c r="G435" s="25" t="s">
        <v>220</v>
      </c>
      <c r="H435" s="17">
        <f ca="1">COUNTIFS('Tracking Sheet'!$E$5:$E$504,"Other",'Tracking Sheet'!$AX$5:$AX$504,Calculations!$K$1,'Tracking Sheet'!$AI$5:$AI$504,"Quarter 2")</f>
        <v>0</v>
      </c>
      <c r="I435" s="25" t="str">
        <f t="shared" si="32"/>
        <v>Other</v>
      </c>
      <c r="J435" s="17" t="e">
        <f t="shared" ca="1" si="33"/>
        <v>#N/A</v>
      </c>
      <c r="L435" s="25" t="s">
        <v>22</v>
      </c>
      <c r="M435" s="25" t="s">
        <v>220</v>
      </c>
      <c r="N435" s="17">
        <f ca="1">COUNTIFS('Tracking Sheet'!$E$5:$E$504,"Other",'Tracking Sheet'!$AY$5:$AY$504,Calculations!$K$1,'Tracking Sheet'!$AV$5:$AV$504,"Quarter 2")</f>
        <v>0</v>
      </c>
      <c r="O435" s="25" t="str">
        <f t="shared" si="34"/>
        <v>Other</v>
      </c>
      <c r="P435" s="17" t="e">
        <f t="shared" ca="1" si="35"/>
        <v>#N/A</v>
      </c>
    </row>
    <row r="436" spans="6:16" ht="15.75" customHeight="1" thickBot="1">
      <c r="F436" s="20" t="s">
        <v>22</v>
      </c>
      <c r="G436" s="20" t="s">
        <v>226</v>
      </c>
      <c r="H436" s="20">
        <f ca="1">COUNTIFS('Tracking Sheet'!$E$5:$E$504,"Prefers not to disclose",'Tracking Sheet'!$AX$5:$AX$504,Calculations!$K$1,'Tracking Sheet'!$AI$5:$AI$504,"Quarter 2")</f>
        <v>0</v>
      </c>
      <c r="I436" s="20" t="str">
        <f t="shared" si="32"/>
        <v>Prefers not to disclose</v>
      </c>
      <c r="J436" s="20" t="e">
        <f t="shared" ca="1" si="33"/>
        <v>#N/A</v>
      </c>
      <c r="L436" s="20" t="s">
        <v>22</v>
      </c>
      <c r="M436" s="20" t="s">
        <v>226</v>
      </c>
      <c r="N436" s="20">
        <f ca="1">COUNTIFS('Tracking Sheet'!$E$5:$E$504,"Prefers not to disclose",'Tracking Sheet'!$AY$5:$AY$504,Calculations!$K$1,'Tracking Sheet'!$AV$5:$AV$504,"Quarter 2")</f>
        <v>0</v>
      </c>
      <c r="O436" s="20" t="str">
        <f t="shared" si="34"/>
        <v>Prefers not to disclose</v>
      </c>
      <c r="P436" s="20" t="e">
        <f t="shared" ca="1" si="35"/>
        <v>#N/A</v>
      </c>
    </row>
    <row r="437" spans="6:16" ht="15.75" customHeight="1" thickTop="1">
      <c r="F437" s="21" t="s">
        <v>25</v>
      </c>
      <c r="G437" s="21" t="s">
        <v>179</v>
      </c>
      <c r="H437" s="21">
        <f ca="1">COUNTIFS('Tracking Sheet'!$E$5:$E$504,"Female",'Tracking Sheet'!$AX$5:$AX$504,Calculations!$K$1,'Tracking Sheet'!$AI$5:$AI$504,"Quarter 3")</f>
        <v>0</v>
      </c>
      <c r="I437" s="21" t="str">
        <f>G437</f>
        <v>Female</v>
      </c>
      <c r="J437" s="21" t="e">
        <f ca="1">IF(H437=0,NA(),H437)</f>
        <v>#N/A</v>
      </c>
      <c r="L437" s="21" t="s">
        <v>25</v>
      </c>
      <c r="M437" s="21" t="s">
        <v>179</v>
      </c>
      <c r="N437" s="21">
        <f ca="1">COUNTIFS('Tracking Sheet'!$E$5:$E$504,"Female",'Tracking Sheet'!$AY$5:$AY$504,Calculations!$K$1,'Tracking Sheet'!$AV$5:$AV$504,"Quarter 3")</f>
        <v>0</v>
      </c>
      <c r="O437" s="21" t="str">
        <f>M437</f>
        <v>Female</v>
      </c>
      <c r="P437" s="21" t="e">
        <f ca="1">IF(N437=0,NA(),N437)</f>
        <v>#N/A</v>
      </c>
    </row>
    <row r="438" spans="6:16" ht="15.75" customHeight="1">
      <c r="F438" s="17" t="s">
        <v>25</v>
      </c>
      <c r="G438" s="17" t="s">
        <v>196</v>
      </c>
      <c r="H438" s="17">
        <f ca="1">COUNTIFS('Tracking Sheet'!$E$5:$E$504,"Male",'Tracking Sheet'!$AX$5:$AX$504,Calculations!$K$1,'Tracking Sheet'!$AI$5:$AI$504,"Quarter 3")</f>
        <v>0</v>
      </c>
      <c r="I438" s="17" t="str">
        <f t="shared" ref="I438:I441" si="36">G438</f>
        <v>Male</v>
      </c>
      <c r="J438" s="17" t="e">
        <f t="shared" ref="J438:J441" ca="1" si="37">IF(H438=0,NA(),H438)</f>
        <v>#N/A</v>
      </c>
      <c r="L438" s="17" t="s">
        <v>25</v>
      </c>
      <c r="M438" s="17" t="s">
        <v>196</v>
      </c>
      <c r="N438" s="17">
        <f ca="1">COUNTIFS('Tracking Sheet'!$E$5:$E$504,"Male",'Tracking Sheet'!$AY$5:$AY$504,Calculations!$K$1,'Tracking Sheet'!$AV$5:$AV$504,"Quarter 3")</f>
        <v>0</v>
      </c>
      <c r="O438" s="17" t="str">
        <f t="shared" ref="O438:O441" si="38">M438</f>
        <v>Male</v>
      </c>
      <c r="P438" s="17" t="e">
        <f t="shared" ref="P438:P441" ca="1" si="39">IF(N438=0,NA(),N438)</f>
        <v>#N/A</v>
      </c>
    </row>
    <row r="439" spans="6:16" ht="15.75" customHeight="1">
      <c r="F439" s="17" t="s">
        <v>25</v>
      </c>
      <c r="G439" s="17" t="s">
        <v>282</v>
      </c>
      <c r="H439" s="17">
        <f ca="1">COUNTIFS('Tracking Sheet'!$E$5:$E$504,"Nonbinary",'Tracking Sheet'!$AX$5:$AX$504,Calculations!$K$1,'Tracking Sheet'!$AI$5:$AI$504,"Quarter 3")</f>
        <v>0</v>
      </c>
      <c r="I439" s="17" t="str">
        <f t="shared" si="36"/>
        <v>Nonbinary</v>
      </c>
      <c r="J439" s="17" t="e">
        <f t="shared" ca="1" si="37"/>
        <v>#N/A</v>
      </c>
      <c r="L439" s="17" t="s">
        <v>25</v>
      </c>
      <c r="M439" s="17" t="s">
        <v>282</v>
      </c>
      <c r="N439" s="17">
        <f ca="1">COUNTIFS('Tracking Sheet'!$E$5:$E$504,"Nonbinary",'Tracking Sheet'!$AY$5:$AY$504,Calculations!$K$1,'Tracking Sheet'!$AV$5:$AV$504,"Quarter 3")</f>
        <v>0</v>
      </c>
      <c r="O439" s="17" t="str">
        <f t="shared" si="38"/>
        <v>Nonbinary</v>
      </c>
      <c r="P439" s="17" t="e">
        <f t="shared" ca="1" si="39"/>
        <v>#N/A</v>
      </c>
    </row>
    <row r="440" spans="6:16" ht="15.75" customHeight="1">
      <c r="F440" s="17" t="s">
        <v>25</v>
      </c>
      <c r="G440" s="17" t="s">
        <v>220</v>
      </c>
      <c r="H440" s="17">
        <f ca="1">COUNTIFS('Tracking Sheet'!$E$5:$E$504,"Other",'Tracking Sheet'!$AX$5:$AX$504,Calculations!$K$1,'Tracking Sheet'!$AI$5:$AI$504,"Quarter 3")</f>
        <v>0</v>
      </c>
      <c r="I440" s="17" t="str">
        <f t="shared" si="36"/>
        <v>Other</v>
      </c>
      <c r="J440" s="17" t="e">
        <f t="shared" ca="1" si="37"/>
        <v>#N/A</v>
      </c>
      <c r="L440" s="17" t="s">
        <v>25</v>
      </c>
      <c r="M440" s="17" t="s">
        <v>220</v>
      </c>
      <c r="N440" s="17">
        <f ca="1">COUNTIFS('Tracking Sheet'!$E$5:$E$504,"Other",'Tracking Sheet'!$AY$5:$AY$504,Calculations!$K$1,'Tracking Sheet'!$AV$5:$AV$504,"Quarter 3")</f>
        <v>0</v>
      </c>
      <c r="O440" s="17" t="str">
        <f t="shared" si="38"/>
        <v>Other</v>
      </c>
      <c r="P440" s="17" t="e">
        <f t="shared" ca="1" si="39"/>
        <v>#N/A</v>
      </c>
    </row>
    <row r="441" spans="6:16" ht="15.75" customHeight="1" thickBot="1">
      <c r="F441" s="20" t="s">
        <v>25</v>
      </c>
      <c r="G441" s="20" t="s">
        <v>226</v>
      </c>
      <c r="H441" s="20">
        <f ca="1">COUNTIFS('Tracking Sheet'!$E$5:$E$504,"Prefers not to disclose",'Tracking Sheet'!$AX$5:$AX$504,Calculations!$K$1,'Tracking Sheet'!$AI$5:$AI$504,"Quarter 3")</f>
        <v>0</v>
      </c>
      <c r="I441" s="20" t="str">
        <f t="shared" si="36"/>
        <v>Prefers not to disclose</v>
      </c>
      <c r="J441" s="20" t="e">
        <f t="shared" ca="1" si="37"/>
        <v>#N/A</v>
      </c>
      <c r="L441" s="20" t="s">
        <v>25</v>
      </c>
      <c r="M441" s="20" t="s">
        <v>226</v>
      </c>
      <c r="N441" s="20">
        <f ca="1">COUNTIFS('Tracking Sheet'!$E$5:$E$504,"Prefers not to disclose",'Tracking Sheet'!$AY$5:$AY$504,Calculations!$K$1,'Tracking Sheet'!$AV$5:$AV$504,"Quarter 3")</f>
        <v>0</v>
      </c>
      <c r="O441" s="20" t="str">
        <f t="shared" si="38"/>
        <v>Prefers not to disclose</v>
      </c>
      <c r="P441" s="20" t="e">
        <f t="shared" ca="1" si="39"/>
        <v>#N/A</v>
      </c>
    </row>
    <row r="442" spans="6:16" ht="15.75" customHeight="1" thickTop="1">
      <c r="F442" s="21" t="s">
        <v>26</v>
      </c>
      <c r="G442" s="21" t="s">
        <v>179</v>
      </c>
      <c r="H442" s="21">
        <f ca="1">COUNTIFS('Tracking Sheet'!$E$5:$E$504,"Female",'Tracking Sheet'!$AX$5:$AX$504,Calculations!$K$1,'Tracking Sheet'!$AI$5:$AI$504,"Quarter 4")</f>
        <v>0</v>
      </c>
      <c r="I442" s="21" t="str">
        <f>G442</f>
        <v>Female</v>
      </c>
      <c r="J442" s="21" t="e">
        <f ca="1">IF(H442=0,NA(),H442)</f>
        <v>#N/A</v>
      </c>
      <c r="L442" s="21" t="s">
        <v>26</v>
      </c>
      <c r="M442" s="21" t="s">
        <v>179</v>
      </c>
      <c r="N442" s="21">
        <f ca="1">COUNTIFS('Tracking Sheet'!$E$5:$E$504,"Female",'Tracking Sheet'!$AY$5:$AY$504,Calculations!$K$1,'Tracking Sheet'!$AV$5:$AV$504,"Quarter 4")</f>
        <v>0</v>
      </c>
      <c r="O442" s="21" t="str">
        <f>M442</f>
        <v>Female</v>
      </c>
      <c r="P442" s="21" t="e">
        <f ca="1">IF(N442=0,NA(),N442)</f>
        <v>#N/A</v>
      </c>
    </row>
    <row r="443" spans="6:16" ht="15.75" customHeight="1">
      <c r="F443" s="17" t="s">
        <v>26</v>
      </c>
      <c r="G443" s="17" t="s">
        <v>196</v>
      </c>
      <c r="H443" s="17">
        <f ca="1">COUNTIFS('Tracking Sheet'!$E$5:$E$504,"Male",'Tracking Sheet'!$AX$5:$AX$504,Calculations!$K$1,'Tracking Sheet'!$AI$5:$AI$504,"Quarter 4")</f>
        <v>0</v>
      </c>
      <c r="I443" s="17" t="str">
        <f t="shared" ref="I443:I446" si="40">G443</f>
        <v>Male</v>
      </c>
      <c r="J443" s="17" t="e">
        <f t="shared" ref="J443:J446" ca="1" si="41">IF(H443=0,NA(),H443)</f>
        <v>#N/A</v>
      </c>
      <c r="L443" s="17" t="s">
        <v>26</v>
      </c>
      <c r="M443" s="17" t="s">
        <v>196</v>
      </c>
      <c r="N443" s="17">
        <f ca="1">COUNTIFS('Tracking Sheet'!$E$5:$E$504,"Male",'Tracking Sheet'!$AY$5:$AY$504,Calculations!$K$1,'Tracking Sheet'!$AV$5:$AV$504,"Quarter 4")</f>
        <v>0</v>
      </c>
      <c r="O443" s="17" t="str">
        <f t="shared" ref="O443:O446" si="42">M443</f>
        <v>Male</v>
      </c>
      <c r="P443" s="17" t="e">
        <f t="shared" ref="P443:P446" ca="1" si="43">IF(N443=0,NA(),N443)</f>
        <v>#N/A</v>
      </c>
    </row>
    <row r="444" spans="6:16" ht="15.75" customHeight="1">
      <c r="F444" s="17" t="s">
        <v>26</v>
      </c>
      <c r="G444" s="17" t="s">
        <v>282</v>
      </c>
      <c r="H444" s="17">
        <f ca="1">COUNTIFS('Tracking Sheet'!$E$5:$E$504,"Nonbinary",'Tracking Sheet'!$AX$5:$AX$504,Calculations!$K$1,'Tracking Sheet'!$AI$5:$AI$504,"Quarter 4")</f>
        <v>0</v>
      </c>
      <c r="I444" s="17" t="str">
        <f t="shared" si="40"/>
        <v>Nonbinary</v>
      </c>
      <c r="J444" s="17" t="e">
        <f t="shared" ca="1" si="41"/>
        <v>#N/A</v>
      </c>
      <c r="L444" s="17" t="s">
        <v>26</v>
      </c>
      <c r="M444" s="17" t="s">
        <v>282</v>
      </c>
      <c r="N444" s="17">
        <f ca="1">COUNTIFS('Tracking Sheet'!$E$5:$E$504,"Nonbinary",'Tracking Sheet'!$AY$5:$AY$504,Calculations!$K$1,'Tracking Sheet'!$AV$5:$AV$504,"Quarter 4")</f>
        <v>0</v>
      </c>
      <c r="O444" s="17" t="str">
        <f t="shared" si="42"/>
        <v>Nonbinary</v>
      </c>
      <c r="P444" s="17" t="e">
        <f t="shared" ca="1" si="43"/>
        <v>#N/A</v>
      </c>
    </row>
    <row r="445" spans="6:16" ht="15.75" customHeight="1">
      <c r="F445" s="17" t="s">
        <v>26</v>
      </c>
      <c r="G445" s="17" t="s">
        <v>220</v>
      </c>
      <c r="H445" s="17">
        <f ca="1">COUNTIFS('Tracking Sheet'!$E$5:$E$504,"Other",'Tracking Sheet'!$AX$5:$AX$504,Calculations!$K$1,'Tracking Sheet'!$AI$5:$AI$504,"Quarter 4")</f>
        <v>0</v>
      </c>
      <c r="I445" s="17" t="str">
        <f t="shared" si="40"/>
        <v>Other</v>
      </c>
      <c r="J445" s="17" t="e">
        <f t="shared" ca="1" si="41"/>
        <v>#N/A</v>
      </c>
      <c r="L445" s="17" t="s">
        <v>26</v>
      </c>
      <c r="M445" s="17" t="s">
        <v>220</v>
      </c>
      <c r="N445" s="17">
        <f ca="1">COUNTIFS('Tracking Sheet'!$E$5:$E$504,"Other",'Tracking Sheet'!$AY$5:$AY$504,Calculations!$K$1,'Tracking Sheet'!$AV$5:$AV$504,"Quarter 4")</f>
        <v>0</v>
      </c>
      <c r="O445" s="17" t="str">
        <f t="shared" si="42"/>
        <v>Other</v>
      </c>
      <c r="P445" s="17" t="e">
        <f t="shared" ca="1" si="43"/>
        <v>#N/A</v>
      </c>
    </row>
    <row r="446" spans="6:16" ht="15.75" customHeight="1" thickBot="1">
      <c r="F446" s="20" t="s">
        <v>26</v>
      </c>
      <c r="G446" s="20" t="s">
        <v>226</v>
      </c>
      <c r="H446" s="20">
        <f ca="1">COUNTIFS('Tracking Sheet'!$E$5:$E$504,"Prefers not to disclose",'Tracking Sheet'!$AX$5:$AX$504,Calculations!$K$1,'Tracking Sheet'!$AI$5:$AI$504,"Quarter 4")</f>
        <v>0</v>
      </c>
      <c r="I446" s="20" t="str">
        <f t="shared" si="40"/>
        <v>Prefers not to disclose</v>
      </c>
      <c r="J446" s="20" t="e">
        <f t="shared" ca="1" si="41"/>
        <v>#N/A</v>
      </c>
      <c r="L446" s="20" t="s">
        <v>26</v>
      </c>
      <c r="M446" s="20" t="s">
        <v>226</v>
      </c>
      <c r="N446" s="20">
        <f ca="1">COUNTIFS('Tracking Sheet'!$E$5:$E$504,"Prefers not to disclose",'Tracking Sheet'!$AY$5:$AY$504,Calculations!$K$1,'Tracking Sheet'!$AV$5:$AV$504,"Quarter 4")</f>
        <v>0</v>
      </c>
      <c r="O446" s="20" t="str">
        <f t="shared" si="42"/>
        <v>Prefers not to disclose</v>
      </c>
      <c r="P446" s="20" t="e">
        <f t="shared" ca="1" si="43"/>
        <v>#N/A</v>
      </c>
    </row>
    <row r="447" spans="6:16" ht="15.75" customHeight="1" thickTop="1"/>
    <row r="448" spans="6:16" ht="15.75" customHeight="1">
      <c r="F448" s="16" t="s">
        <v>886</v>
      </c>
      <c r="L448" s="16" t="s">
        <v>887</v>
      </c>
    </row>
    <row r="449" spans="6:16" ht="15.75" customHeight="1">
      <c r="F449" s="17" t="s">
        <v>21</v>
      </c>
      <c r="G449" s="17" t="s">
        <v>181</v>
      </c>
      <c r="H449" s="17">
        <f ca="1">COUNTIFS('Tracking Sheet'!$G$5:$G$504,"Asian",'Tracking Sheet'!$AX$5:$AX$504,Calculations!$K$1,'Tracking Sheet'!$AI$5:$AI$504,"Quarter 1")</f>
        <v>0</v>
      </c>
      <c r="I449" s="17" t="str">
        <f>G449</f>
        <v>Asian</v>
      </c>
      <c r="J449" s="17" t="e">
        <f ca="1">IF(H449=0,NA(),H449)</f>
        <v>#N/A</v>
      </c>
      <c r="L449" s="17" t="s">
        <v>21</v>
      </c>
      <c r="M449" s="17" t="s">
        <v>181</v>
      </c>
      <c r="N449" s="17">
        <f ca="1">COUNTIFS('Tracking Sheet'!$G$5:$G$504,"Asian",'Tracking Sheet'!$AY$5:$AY$504,Calculations!$K$1,'Tracking Sheet'!$AV$5:$AV$504,"Quarter 1")</f>
        <v>0</v>
      </c>
      <c r="O449" s="17" t="str">
        <f>M449</f>
        <v>Asian</v>
      </c>
      <c r="P449" s="17" t="e">
        <f ca="1">IF(N449=0,NA(),N449)</f>
        <v>#N/A</v>
      </c>
    </row>
    <row r="450" spans="6:16" ht="15.75" customHeight="1">
      <c r="F450" s="17" t="s">
        <v>21</v>
      </c>
      <c r="G450" s="17" t="s">
        <v>198</v>
      </c>
      <c r="H450" s="17">
        <f ca="1">COUNTIFS('Tracking Sheet'!$G$5:$G$504,"Black",'Tracking Sheet'!$AX$5:$AX$504,Calculations!$K$1,'Tracking Sheet'!$AI$5:$AI$504,"Quarter 1")</f>
        <v>0</v>
      </c>
      <c r="I450" s="17" t="str">
        <f t="shared" ref="I450:I454" si="44">G450</f>
        <v>Black</v>
      </c>
      <c r="J450" s="17" t="e">
        <f t="shared" ref="J450:J454" ca="1" si="45">IF(H450=0,NA(),H450)</f>
        <v>#N/A</v>
      </c>
      <c r="L450" s="17" t="s">
        <v>21</v>
      </c>
      <c r="M450" s="17" t="s">
        <v>198</v>
      </c>
      <c r="N450" s="17">
        <f ca="1">COUNTIFS('Tracking Sheet'!$G$5:$G$504,"Black",'Tracking Sheet'!$AY$5:$AY$504,Calculations!$K$1,'Tracking Sheet'!$AV$5:$AV$504,"Quarter 1")</f>
        <v>0</v>
      </c>
      <c r="O450" s="17" t="str">
        <f t="shared" ref="O450:O454" si="46">M450</f>
        <v>Black</v>
      </c>
      <c r="P450" s="17" t="e">
        <f t="shared" ref="P450:P454" ca="1" si="47">IF(N450=0,NA(),N450)</f>
        <v>#N/A</v>
      </c>
    </row>
    <row r="451" spans="6:16" ht="15.75" customHeight="1">
      <c r="F451" s="17" t="s">
        <v>21</v>
      </c>
      <c r="G451" s="17" t="s">
        <v>213</v>
      </c>
      <c r="H451" s="17">
        <f ca="1">COUNTIFS('Tracking Sheet'!$G$5:$G$504,"Hispanic or Latino",'Tracking Sheet'!$AX$5:$AX$504,Calculations!$K$1,'Tracking Sheet'!$AI$5:$AI$504,"Quarter 1")</f>
        <v>0</v>
      </c>
      <c r="I451" s="17" t="str">
        <f t="shared" si="44"/>
        <v>Hispanic or Latino</v>
      </c>
      <c r="J451" s="17" t="e">
        <f t="shared" ca="1" si="45"/>
        <v>#N/A</v>
      </c>
      <c r="L451" s="17" t="s">
        <v>21</v>
      </c>
      <c r="M451" s="17" t="s">
        <v>213</v>
      </c>
      <c r="N451" s="17">
        <f ca="1">COUNTIFS('Tracking Sheet'!$G$5:$G$504,"Hispanic or Latino",'Tracking Sheet'!$AY$5:$AY$504,Calculations!$K$1,'Tracking Sheet'!$AV$5:$AV$504,"Quarter 1")</f>
        <v>0</v>
      </c>
      <c r="O451" s="17" t="str">
        <f t="shared" si="46"/>
        <v>Hispanic or Latino</v>
      </c>
      <c r="P451" s="17" t="e">
        <f t="shared" ca="1" si="47"/>
        <v>#N/A</v>
      </c>
    </row>
    <row r="452" spans="6:16" ht="15.75" customHeight="1">
      <c r="F452" s="17" t="s">
        <v>21</v>
      </c>
      <c r="G452" s="17" t="s">
        <v>221</v>
      </c>
      <c r="H452" s="17">
        <f ca="1">COUNTIFS('Tracking Sheet'!$G$5:$G$504,"White",'Tracking Sheet'!$AX$5:$AX$504,Calculations!$K$1,'Tracking Sheet'!$AI$5:$AI$504,"Quarter 1")</f>
        <v>0</v>
      </c>
      <c r="I452" s="17" t="str">
        <f t="shared" si="44"/>
        <v>White</v>
      </c>
      <c r="J452" s="17" t="e">
        <f t="shared" ca="1" si="45"/>
        <v>#N/A</v>
      </c>
      <c r="L452" s="17" t="s">
        <v>21</v>
      </c>
      <c r="M452" s="17" t="s">
        <v>221</v>
      </c>
      <c r="N452" s="17">
        <f ca="1">COUNTIFS('Tracking Sheet'!$G$5:$G$504,"White",'Tracking Sheet'!$AY$5:$AY$504,Calculations!$K$1,'Tracking Sheet'!$AV$5:$AV$504,"Quarter 1")</f>
        <v>0</v>
      </c>
      <c r="O452" s="17" t="str">
        <f t="shared" si="46"/>
        <v>White</v>
      </c>
      <c r="P452" s="17" t="e">
        <f t="shared" ca="1" si="47"/>
        <v>#N/A</v>
      </c>
    </row>
    <row r="453" spans="6:16" ht="15.75" customHeight="1">
      <c r="F453" s="17" t="s">
        <v>21</v>
      </c>
      <c r="G453" s="17" t="s">
        <v>227</v>
      </c>
      <c r="H453" s="17">
        <f ca="1">COUNTIFS('Tracking Sheet'!$G$5:$G$504,"American Indian/Alaska Native",'Tracking Sheet'!$AX$5:$AX$504,Calculations!$K$1,'Tracking Sheet'!$AI$5:$AI$504,"Quarter 1")</f>
        <v>0</v>
      </c>
      <c r="I453" s="17" t="str">
        <f t="shared" si="44"/>
        <v>American Indian/Alaska Native</v>
      </c>
      <c r="J453" s="17" t="e">
        <f t="shared" ca="1" si="45"/>
        <v>#N/A</v>
      </c>
      <c r="L453" s="17" t="s">
        <v>21</v>
      </c>
      <c r="M453" s="17" t="s">
        <v>227</v>
      </c>
      <c r="N453" s="17">
        <f ca="1">COUNTIFS('Tracking Sheet'!$G$5:$G$504,"American Indian/Alaska Native",'Tracking Sheet'!$AY$5:$AY$504,Calculations!$K$1,'Tracking Sheet'!$AV$5:$AV$504,"Quarter 1")</f>
        <v>0</v>
      </c>
      <c r="O453" s="17" t="str">
        <f t="shared" si="46"/>
        <v>American Indian/Alaska Native</v>
      </c>
      <c r="P453" s="17" t="e">
        <f t="shared" ca="1" si="47"/>
        <v>#N/A</v>
      </c>
    </row>
    <row r="454" spans="6:16" ht="15.75" customHeight="1" thickBot="1">
      <c r="F454" s="20" t="s">
        <v>21</v>
      </c>
      <c r="G454" s="20" t="s">
        <v>234</v>
      </c>
      <c r="H454" s="20">
        <f ca="1">COUNTIFS('Tracking Sheet'!$G$5:$G$504,"Prefers not to identify",'Tracking Sheet'!$AX$5:$AX$504,Calculations!$K$1,'Tracking Sheet'!$AI$5:$AI$504,"Quarter 1")</f>
        <v>0</v>
      </c>
      <c r="I454" s="20" t="str">
        <f t="shared" si="44"/>
        <v>Prefers not to identify</v>
      </c>
      <c r="J454" s="20" t="e">
        <f t="shared" ca="1" si="45"/>
        <v>#N/A</v>
      </c>
      <c r="L454" s="20" t="s">
        <v>21</v>
      </c>
      <c r="M454" s="20" t="s">
        <v>234</v>
      </c>
      <c r="N454" s="20">
        <f ca="1">COUNTIFS('Tracking Sheet'!$G$5:$G$504,"Prefers not to identify",'Tracking Sheet'!$AY$5:$AY$504,Calculations!$K$1,'Tracking Sheet'!$AV$5:$AV$504,"Quarter 1")</f>
        <v>0</v>
      </c>
      <c r="O454" s="20" t="str">
        <f t="shared" si="46"/>
        <v>Prefers not to identify</v>
      </c>
      <c r="P454" s="20" t="e">
        <f t="shared" ca="1" si="47"/>
        <v>#N/A</v>
      </c>
    </row>
    <row r="455" spans="6:16" ht="15.75" customHeight="1" thickTop="1">
      <c r="F455" s="17" t="s">
        <v>22</v>
      </c>
      <c r="G455" s="17" t="s">
        <v>181</v>
      </c>
      <c r="H455" s="17">
        <f ca="1">COUNTIFS('Tracking Sheet'!$G$5:$G$504,"Asian",'Tracking Sheet'!$AX$5:$AX$504,Calculations!$K$1,'Tracking Sheet'!$AI$5:$AI$504,"Quarter 2")</f>
        <v>0</v>
      </c>
      <c r="I455" s="17" t="str">
        <f>G455</f>
        <v>Asian</v>
      </c>
      <c r="J455" s="17" t="e">
        <f ca="1">IF(H455=0,NA(),H455)</f>
        <v>#N/A</v>
      </c>
      <c r="L455" s="17" t="s">
        <v>22</v>
      </c>
      <c r="M455" s="17" t="s">
        <v>181</v>
      </c>
      <c r="N455" s="17">
        <f ca="1">COUNTIFS('Tracking Sheet'!$G$5:$G$504,"Asian",'Tracking Sheet'!$AY$5:$AY$504,Calculations!$K$1,'Tracking Sheet'!$AV$5:$AV$504,"Quarter 2")</f>
        <v>0</v>
      </c>
      <c r="O455" s="17" t="str">
        <f>M455</f>
        <v>Asian</v>
      </c>
      <c r="P455" s="17" t="e">
        <f ca="1">IF(N455=0,NA(),N455)</f>
        <v>#N/A</v>
      </c>
    </row>
    <row r="456" spans="6:16" ht="15.75" customHeight="1">
      <c r="F456" s="17" t="s">
        <v>22</v>
      </c>
      <c r="G456" s="17" t="s">
        <v>198</v>
      </c>
      <c r="H456" s="17">
        <f ca="1">COUNTIFS('Tracking Sheet'!$G$5:$G$504,"Black",'Tracking Sheet'!$AX$5:$AX$504,Calculations!$K$1,'Tracking Sheet'!$AI$5:$AI$504,"Quarter 2")</f>
        <v>0</v>
      </c>
      <c r="I456" s="17" t="str">
        <f t="shared" ref="I456:I460" si="48">G456</f>
        <v>Black</v>
      </c>
      <c r="J456" s="17" t="e">
        <f t="shared" ref="J456:J460" ca="1" si="49">IF(H456=0,NA(),H456)</f>
        <v>#N/A</v>
      </c>
      <c r="L456" s="17" t="s">
        <v>22</v>
      </c>
      <c r="M456" s="17" t="s">
        <v>198</v>
      </c>
      <c r="N456" s="17">
        <f ca="1">COUNTIFS('Tracking Sheet'!$G$5:$G$504,"Black",'Tracking Sheet'!$AY$5:$AY$504,Calculations!$K$1,'Tracking Sheet'!$AV$5:$AV$504,"Quarter 2")</f>
        <v>0</v>
      </c>
      <c r="O456" s="17" t="str">
        <f t="shared" ref="O456:O460" si="50">M456</f>
        <v>Black</v>
      </c>
      <c r="P456" s="17" t="e">
        <f t="shared" ref="P456:P460" ca="1" si="51">IF(N456=0,NA(),N456)</f>
        <v>#N/A</v>
      </c>
    </row>
    <row r="457" spans="6:16" ht="15.75" customHeight="1">
      <c r="F457" s="17" t="s">
        <v>22</v>
      </c>
      <c r="G457" s="17" t="s">
        <v>213</v>
      </c>
      <c r="H457" s="17">
        <f ca="1">COUNTIFS('Tracking Sheet'!$G$5:$G$504,"Hispanic or Latino",'Tracking Sheet'!$AX$5:$AX$504,Calculations!$K$1,'Tracking Sheet'!$AI$5:$AI$504,"Quarter 2")</f>
        <v>0</v>
      </c>
      <c r="I457" s="17" t="str">
        <f t="shared" si="48"/>
        <v>Hispanic or Latino</v>
      </c>
      <c r="J457" s="17" t="e">
        <f t="shared" ca="1" si="49"/>
        <v>#N/A</v>
      </c>
      <c r="L457" s="17" t="s">
        <v>22</v>
      </c>
      <c r="M457" s="17" t="s">
        <v>213</v>
      </c>
      <c r="N457" s="17">
        <f ca="1">COUNTIFS('Tracking Sheet'!$G$5:$G$504,"Hispanic or Latino",'Tracking Sheet'!$AY$5:$AY$504,Calculations!$K$1,'Tracking Sheet'!$AV$5:$AV$504,"Quarter 2")</f>
        <v>0</v>
      </c>
      <c r="O457" s="17" t="str">
        <f t="shared" si="50"/>
        <v>Hispanic or Latino</v>
      </c>
      <c r="P457" s="17" t="e">
        <f t="shared" ca="1" si="51"/>
        <v>#N/A</v>
      </c>
    </row>
    <row r="458" spans="6:16" ht="15.75" customHeight="1">
      <c r="F458" s="17" t="s">
        <v>22</v>
      </c>
      <c r="G458" s="17" t="s">
        <v>221</v>
      </c>
      <c r="H458" s="17">
        <f ca="1">COUNTIFS('Tracking Sheet'!$G$5:$G$504,"White",'Tracking Sheet'!$AX$5:$AX$504,Calculations!$K$1,'Tracking Sheet'!$AI$5:$AI$504,"Quarter 2")</f>
        <v>0</v>
      </c>
      <c r="I458" s="17" t="str">
        <f t="shared" si="48"/>
        <v>White</v>
      </c>
      <c r="J458" s="17" t="e">
        <f t="shared" ca="1" si="49"/>
        <v>#N/A</v>
      </c>
      <c r="L458" s="17" t="s">
        <v>22</v>
      </c>
      <c r="M458" s="17" t="s">
        <v>221</v>
      </c>
      <c r="N458" s="17">
        <f ca="1">COUNTIFS('Tracking Sheet'!$G$5:$G$504,"White",'Tracking Sheet'!$AY$5:$AY$504,Calculations!$K$1,'Tracking Sheet'!$AV$5:$AV$504,"Quarter 2")</f>
        <v>0</v>
      </c>
      <c r="O458" s="17" t="str">
        <f t="shared" si="50"/>
        <v>White</v>
      </c>
      <c r="P458" s="17" t="e">
        <f t="shared" ca="1" si="51"/>
        <v>#N/A</v>
      </c>
    </row>
    <row r="459" spans="6:16" ht="15.75" customHeight="1">
      <c r="F459" s="17" t="s">
        <v>22</v>
      </c>
      <c r="G459" s="17" t="s">
        <v>227</v>
      </c>
      <c r="H459" s="17">
        <f ca="1">COUNTIFS('Tracking Sheet'!$G$5:$G$504,"American Indian/Alaska Native",'Tracking Sheet'!$AX$5:$AX$504,Calculations!$K$1,'Tracking Sheet'!$AI$5:$AI$504,"Quarter 2")</f>
        <v>0</v>
      </c>
      <c r="I459" s="17" t="str">
        <f t="shared" si="48"/>
        <v>American Indian/Alaska Native</v>
      </c>
      <c r="J459" s="17" t="e">
        <f t="shared" ca="1" si="49"/>
        <v>#N/A</v>
      </c>
      <c r="L459" s="17" t="s">
        <v>22</v>
      </c>
      <c r="M459" s="17" t="s">
        <v>227</v>
      </c>
      <c r="N459" s="17">
        <f ca="1">COUNTIFS('Tracking Sheet'!$G$5:$G$504,"American Indian/Alaska Native",'Tracking Sheet'!$AY$5:$AY$504,Calculations!$K$1,'Tracking Sheet'!$AV$5:$AV$504,"Quarter 2")</f>
        <v>0</v>
      </c>
      <c r="O459" s="17" t="str">
        <f t="shared" si="50"/>
        <v>American Indian/Alaska Native</v>
      </c>
      <c r="P459" s="17" t="e">
        <f t="shared" ca="1" si="51"/>
        <v>#N/A</v>
      </c>
    </row>
    <row r="460" spans="6:16" ht="15.75" customHeight="1" thickBot="1">
      <c r="F460" s="20" t="s">
        <v>22</v>
      </c>
      <c r="G460" s="20" t="s">
        <v>234</v>
      </c>
      <c r="H460" s="20">
        <f ca="1">COUNTIFS('Tracking Sheet'!$G$5:$G$504,"Prefers not to identify",'Tracking Sheet'!$AX$5:$AX$504,Calculations!$K$1,'Tracking Sheet'!$AI$5:$AI$504,"Quarter 2")</f>
        <v>0</v>
      </c>
      <c r="I460" s="20" t="str">
        <f t="shared" si="48"/>
        <v>Prefers not to identify</v>
      </c>
      <c r="J460" s="20" t="e">
        <f t="shared" ca="1" si="49"/>
        <v>#N/A</v>
      </c>
      <c r="L460" s="20" t="s">
        <v>22</v>
      </c>
      <c r="M460" s="20" t="s">
        <v>234</v>
      </c>
      <c r="N460" s="20">
        <f ca="1">COUNTIFS('Tracking Sheet'!$G$5:$G$504,"Prefers not to identify",'Tracking Sheet'!$AY$5:$AY$504,Calculations!$K$1,'Tracking Sheet'!$AV$5:$AV$504,"Quarter 2")</f>
        <v>0</v>
      </c>
      <c r="O460" s="20" t="str">
        <f t="shared" si="50"/>
        <v>Prefers not to identify</v>
      </c>
      <c r="P460" s="20" t="e">
        <f t="shared" ca="1" si="51"/>
        <v>#N/A</v>
      </c>
    </row>
    <row r="461" spans="6:16" ht="15.75" customHeight="1" thickTop="1">
      <c r="F461" s="17" t="s">
        <v>25</v>
      </c>
      <c r="G461" s="17" t="s">
        <v>181</v>
      </c>
      <c r="H461" s="17">
        <f ca="1">COUNTIFS('Tracking Sheet'!$G$5:$G$504,"Asian",'Tracking Sheet'!$AX$5:$AX$504,Calculations!$K$1,'Tracking Sheet'!$AI$5:$AI$504,"Quarter 3")</f>
        <v>0</v>
      </c>
      <c r="I461" s="17" t="str">
        <f>G461</f>
        <v>Asian</v>
      </c>
      <c r="J461" s="17" t="e">
        <f ca="1">IF(H461=0,NA(),H461)</f>
        <v>#N/A</v>
      </c>
      <c r="L461" s="17" t="s">
        <v>25</v>
      </c>
      <c r="M461" s="17" t="s">
        <v>181</v>
      </c>
      <c r="N461" s="17">
        <f ca="1">COUNTIFS('Tracking Sheet'!$G$5:$G$504,"Asian",'Tracking Sheet'!$AY$5:$AY$504,Calculations!$K$1,'Tracking Sheet'!$AV$5:$AV$504,"Quarter 3")</f>
        <v>0</v>
      </c>
      <c r="O461" s="17" t="str">
        <f>M461</f>
        <v>Asian</v>
      </c>
      <c r="P461" s="17" t="e">
        <f ca="1">IF(N461=0,NA(),N461)</f>
        <v>#N/A</v>
      </c>
    </row>
    <row r="462" spans="6:16" ht="15.75" customHeight="1">
      <c r="F462" s="17" t="s">
        <v>25</v>
      </c>
      <c r="G462" s="17" t="s">
        <v>198</v>
      </c>
      <c r="H462" s="17">
        <f ca="1">COUNTIFS('Tracking Sheet'!$G$5:$G$504,"Black",'Tracking Sheet'!$AX$5:$AX$504,Calculations!$K$1,'Tracking Sheet'!$AI$5:$AI$504,"Quarter 3")</f>
        <v>0</v>
      </c>
      <c r="I462" s="17" t="str">
        <f t="shared" ref="I462:I466" si="52">G462</f>
        <v>Black</v>
      </c>
      <c r="J462" s="17" t="e">
        <f t="shared" ref="J462:J466" ca="1" si="53">IF(H462=0,NA(),H462)</f>
        <v>#N/A</v>
      </c>
      <c r="L462" s="17" t="s">
        <v>25</v>
      </c>
      <c r="M462" s="17" t="s">
        <v>198</v>
      </c>
      <c r="N462" s="17">
        <f ca="1">COUNTIFS('Tracking Sheet'!$G$5:$G$504,"Black",'Tracking Sheet'!$AY$5:$AY$504,Calculations!$K$1,'Tracking Sheet'!$AV$5:$AV$504,"Quarter 3")</f>
        <v>0</v>
      </c>
      <c r="O462" s="17" t="str">
        <f t="shared" ref="O462:O466" si="54">M462</f>
        <v>Black</v>
      </c>
      <c r="P462" s="17" t="e">
        <f t="shared" ref="P462:P466" ca="1" si="55">IF(N462=0,NA(),N462)</f>
        <v>#N/A</v>
      </c>
    </row>
    <row r="463" spans="6:16" ht="15.75" customHeight="1">
      <c r="F463" s="17" t="s">
        <v>25</v>
      </c>
      <c r="G463" s="17" t="s">
        <v>213</v>
      </c>
      <c r="H463" s="17">
        <f ca="1">COUNTIFS('Tracking Sheet'!$G$5:$G$504,"Hispanic or Latino",'Tracking Sheet'!$AX$5:$AX$504,Calculations!$K$1,'Tracking Sheet'!$AI$5:$AI$504,"Quarter 3")</f>
        <v>0</v>
      </c>
      <c r="I463" s="17" t="str">
        <f t="shared" si="52"/>
        <v>Hispanic or Latino</v>
      </c>
      <c r="J463" s="17" t="e">
        <f t="shared" ca="1" si="53"/>
        <v>#N/A</v>
      </c>
      <c r="L463" s="17" t="s">
        <v>25</v>
      </c>
      <c r="M463" s="17" t="s">
        <v>213</v>
      </c>
      <c r="N463" s="17">
        <f ca="1">COUNTIFS('Tracking Sheet'!$G$5:$G$504,"Hispanic or Latino",'Tracking Sheet'!$AY$5:$AY$504,Calculations!$K$1,'Tracking Sheet'!$AV$5:$AV$504,"Quarter 3")</f>
        <v>0</v>
      </c>
      <c r="O463" s="17" t="str">
        <f t="shared" si="54"/>
        <v>Hispanic or Latino</v>
      </c>
      <c r="P463" s="17" t="e">
        <f t="shared" ca="1" si="55"/>
        <v>#N/A</v>
      </c>
    </row>
    <row r="464" spans="6:16" ht="15.75" customHeight="1">
      <c r="F464" s="17" t="s">
        <v>25</v>
      </c>
      <c r="G464" s="17" t="s">
        <v>221</v>
      </c>
      <c r="H464" s="17">
        <f ca="1">COUNTIFS('Tracking Sheet'!$G$5:$G$504,"White",'Tracking Sheet'!$AX$5:$AX$504,Calculations!$K$1,'Tracking Sheet'!$AI$5:$AI$504,"Quarter 3")</f>
        <v>0</v>
      </c>
      <c r="I464" s="17" t="str">
        <f t="shared" si="52"/>
        <v>White</v>
      </c>
      <c r="J464" s="17" t="e">
        <f t="shared" ca="1" si="53"/>
        <v>#N/A</v>
      </c>
      <c r="L464" s="17" t="s">
        <v>25</v>
      </c>
      <c r="M464" s="17" t="s">
        <v>221</v>
      </c>
      <c r="N464" s="17">
        <f ca="1">COUNTIFS('Tracking Sheet'!$G$5:$G$504,"White",'Tracking Sheet'!$AY$5:$AY$504,Calculations!$K$1,'Tracking Sheet'!$AV$5:$AV$504,"Quarter 3")</f>
        <v>0</v>
      </c>
      <c r="O464" s="17" t="str">
        <f t="shared" si="54"/>
        <v>White</v>
      </c>
      <c r="P464" s="17" t="e">
        <f t="shared" ca="1" si="55"/>
        <v>#N/A</v>
      </c>
    </row>
    <row r="465" spans="6:16" ht="15.75" customHeight="1">
      <c r="F465" s="17" t="s">
        <v>25</v>
      </c>
      <c r="G465" s="17" t="s">
        <v>227</v>
      </c>
      <c r="H465" s="17">
        <f ca="1">COUNTIFS('Tracking Sheet'!$G$5:$G$504,"American Indian/Alaska Native",'Tracking Sheet'!$AX$5:$AX$504,Calculations!$K$1,'Tracking Sheet'!$AI$5:$AI$504,"Quarter 3")</f>
        <v>0</v>
      </c>
      <c r="I465" s="17" t="str">
        <f t="shared" si="52"/>
        <v>American Indian/Alaska Native</v>
      </c>
      <c r="J465" s="17" t="e">
        <f t="shared" ca="1" si="53"/>
        <v>#N/A</v>
      </c>
      <c r="L465" s="17" t="s">
        <v>25</v>
      </c>
      <c r="M465" s="17" t="s">
        <v>227</v>
      </c>
      <c r="N465" s="17">
        <f ca="1">COUNTIFS('Tracking Sheet'!$G$5:$G$504,"American Indian/Alaska Native",'Tracking Sheet'!$AY$5:$AY$504,Calculations!$K$1,'Tracking Sheet'!$AV$5:$AV$504,"Quarter 3")</f>
        <v>0</v>
      </c>
      <c r="O465" s="17" t="str">
        <f t="shared" si="54"/>
        <v>American Indian/Alaska Native</v>
      </c>
      <c r="P465" s="17" t="e">
        <f t="shared" ca="1" si="55"/>
        <v>#N/A</v>
      </c>
    </row>
    <row r="466" spans="6:16" ht="15.75" customHeight="1" thickBot="1">
      <c r="F466" s="20" t="s">
        <v>25</v>
      </c>
      <c r="G466" s="20" t="s">
        <v>234</v>
      </c>
      <c r="H466" s="20">
        <f ca="1">COUNTIFS('Tracking Sheet'!$G$5:$G$504,"Prefers not to identify",'Tracking Sheet'!$AX$5:$AX$504,Calculations!$K$1,'Tracking Sheet'!$AI$5:$AI$504,"Quarter 3")</f>
        <v>0</v>
      </c>
      <c r="I466" s="20" t="str">
        <f t="shared" si="52"/>
        <v>Prefers not to identify</v>
      </c>
      <c r="J466" s="20" t="e">
        <f t="shared" ca="1" si="53"/>
        <v>#N/A</v>
      </c>
      <c r="L466" s="20" t="s">
        <v>25</v>
      </c>
      <c r="M466" s="20" t="s">
        <v>234</v>
      </c>
      <c r="N466" s="20">
        <f ca="1">COUNTIFS('Tracking Sheet'!$G$5:$G$504,"Prefers not to identify",'Tracking Sheet'!$AY$5:$AY$504,Calculations!$K$1,'Tracking Sheet'!$AV$5:$AV$504,"Quarter 3")</f>
        <v>0</v>
      </c>
      <c r="O466" s="20" t="str">
        <f t="shared" si="54"/>
        <v>Prefers not to identify</v>
      </c>
      <c r="P466" s="20" t="e">
        <f t="shared" ca="1" si="55"/>
        <v>#N/A</v>
      </c>
    </row>
    <row r="467" spans="6:16" ht="15.75" customHeight="1" thickTop="1">
      <c r="F467" s="17" t="s">
        <v>26</v>
      </c>
      <c r="G467" s="17" t="s">
        <v>181</v>
      </c>
      <c r="H467" s="17">
        <f ca="1">COUNTIFS('Tracking Sheet'!$G$5:$G$504,"Asian",'Tracking Sheet'!$AX$5:$AX$504,Calculations!$K$1,'Tracking Sheet'!$AI$5:$AI$504,"Quarter 4")</f>
        <v>0</v>
      </c>
      <c r="I467" s="17" t="str">
        <f>G467</f>
        <v>Asian</v>
      </c>
      <c r="J467" s="17" t="e">
        <f ca="1">IF(H467=0,NA(),H467)</f>
        <v>#N/A</v>
      </c>
      <c r="L467" s="17" t="s">
        <v>26</v>
      </c>
      <c r="M467" s="17" t="s">
        <v>181</v>
      </c>
      <c r="N467" s="17">
        <f ca="1">COUNTIFS('Tracking Sheet'!$G$5:$G$504,"Asian",'Tracking Sheet'!$AY$5:$AY$504,Calculations!$K$1,'Tracking Sheet'!$AV$5:$AV$504,"Quarter 4")</f>
        <v>0</v>
      </c>
      <c r="O467" s="17" t="str">
        <f>M467</f>
        <v>Asian</v>
      </c>
      <c r="P467" s="17" t="e">
        <f ca="1">IF(N467=0,NA(),N467)</f>
        <v>#N/A</v>
      </c>
    </row>
    <row r="468" spans="6:16" ht="15.75" customHeight="1">
      <c r="F468" s="17" t="s">
        <v>26</v>
      </c>
      <c r="G468" s="17" t="s">
        <v>198</v>
      </c>
      <c r="H468" s="17">
        <f ca="1">COUNTIFS('Tracking Sheet'!$G$5:$G$504,"Black",'Tracking Sheet'!$AX$5:$AX$504,Calculations!$K$1,'Tracking Sheet'!$AI$5:$AI$504,"Quarter 4")</f>
        <v>0</v>
      </c>
      <c r="I468" s="17" t="str">
        <f t="shared" ref="I468:I472" si="56">G468</f>
        <v>Black</v>
      </c>
      <c r="J468" s="17" t="e">
        <f t="shared" ref="J468:J472" ca="1" si="57">IF(H468=0,NA(),H468)</f>
        <v>#N/A</v>
      </c>
      <c r="L468" s="17" t="s">
        <v>26</v>
      </c>
      <c r="M468" s="17" t="s">
        <v>198</v>
      </c>
      <c r="N468" s="17">
        <f ca="1">COUNTIFS('Tracking Sheet'!$G$5:$G$504,"Black",'Tracking Sheet'!$AY$5:$AY$504,Calculations!$K$1,'Tracking Sheet'!$AV$5:$AV$504,"Quarter 4")</f>
        <v>0</v>
      </c>
      <c r="O468" s="17" t="str">
        <f t="shared" ref="O468:O472" si="58">M468</f>
        <v>Black</v>
      </c>
      <c r="P468" s="17" t="e">
        <f t="shared" ref="P468:P472" ca="1" si="59">IF(N468=0,NA(),N468)</f>
        <v>#N/A</v>
      </c>
    </row>
    <row r="469" spans="6:16" ht="15.75" customHeight="1">
      <c r="F469" s="17" t="s">
        <v>26</v>
      </c>
      <c r="G469" s="17" t="s">
        <v>213</v>
      </c>
      <c r="H469" s="17">
        <f ca="1">COUNTIFS('Tracking Sheet'!$G$5:$G$504,"Hispanic or Latino",'Tracking Sheet'!$AX$5:$AX$504,Calculations!$K$1,'Tracking Sheet'!$AI$5:$AI$504,"Quarter 4")</f>
        <v>0</v>
      </c>
      <c r="I469" s="17" t="str">
        <f t="shared" si="56"/>
        <v>Hispanic or Latino</v>
      </c>
      <c r="J469" s="17" t="e">
        <f t="shared" ca="1" si="57"/>
        <v>#N/A</v>
      </c>
      <c r="L469" s="17" t="s">
        <v>26</v>
      </c>
      <c r="M469" s="17" t="s">
        <v>213</v>
      </c>
      <c r="N469" s="17">
        <f ca="1">COUNTIFS('Tracking Sheet'!$G$5:$G$504,"Hispanic or Latino",'Tracking Sheet'!$AY$5:$AY$504,Calculations!$K$1,'Tracking Sheet'!$AV$5:$AV$504,"Quarter 4")</f>
        <v>0</v>
      </c>
      <c r="O469" s="17" t="str">
        <f t="shared" si="58"/>
        <v>Hispanic or Latino</v>
      </c>
      <c r="P469" s="17" t="e">
        <f t="shared" ca="1" si="59"/>
        <v>#N/A</v>
      </c>
    </row>
    <row r="470" spans="6:16" ht="15.75" customHeight="1">
      <c r="F470" s="17" t="s">
        <v>26</v>
      </c>
      <c r="G470" s="17" t="s">
        <v>221</v>
      </c>
      <c r="H470" s="17">
        <f ca="1">COUNTIFS('Tracking Sheet'!$G$5:$G$504,"White",'Tracking Sheet'!$AX$5:$AX$504,Calculations!$K$1,'Tracking Sheet'!$AI$5:$AI$504,"Quarter 4")</f>
        <v>0</v>
      </c>
      <c r="I470" s="17" t="str">
        <f t="shared" si="56"/>
        <v>White</v>
      </c>
      <c r="J470" s="17" t="e">
        <f t="shared" ca="1" si="57"/>
        <v>#N/A</v>
      </c>
      <c r="L470" s="17" t="s">
        <v>26</v>
      </c>
      <c r="M470" s="17" t="s">
        <v>221</v>
      </c>
      <c r="N470" s="17">
        <f ca="1">COUNTIFS('Tracking Sheet'!$G$5:$G$504,"White",'Tracking Sheet'!$AY$5:$AY$504,Calculations!$K$1,'Tracking Sheet'!$AV$5:$AV$504,"Quarter 4")</f>
        <v>0</v>
      </c>
      <c r="O470" s="17" t="str">
        <f t="shared" si="58"/>
        <v>White</v>
      </c>
      <c r="P470" s="17" t="e">
        <f t="shared" ca="1" si="59"/>
        <v>#N/A</v>
      </c>
    </row>
    <row r="471" spans="6:16" ht="15.75" customHeight="1">
      <c r="F471" s="17" t="s">
        <v>26</v>
      </c>
      <c r="G471" s="17" t="s">
        <v>227</v>
      </c>
      <c r="H471" s="17">
        <f ca="1">COUNTIFS('Tracking Sheet'!$G$5:$G$504,"American Indian/Alaska Native",'Tracking Sheet'!$AX$5:$AX$504,Calculations!$K$1,'Tracking Sheet'!$AI$5:$AI$504,"Quarter 4")</f>
        <v>0</v>
      </c>
      <c r="I471" s="17" t="str">
        <f t="shared" si="56"/>
        <v>American Indian/Alaska Native</v>
      </c>
      <c r="J471" s="17" t="e">
        <f t="shared" ca="1" si="57"/>
        <v>#N/A</v>
      </c>
      <c r="L471" s="17" t="s">
        <v>26</v>
      </c>
      <c r="M471" s="17" t="s">
        <v>227</v>
      </c>
      <c r="N471" s="17">
        <f ca="1">COUNTIFS('Tracking Sheet'!$G$5:$G$504,"American Indian/Alaska Native",'Tracking Sheet'!$AY$5:$AY$504,Calculations!$K$1,'Tracking Sheet'!$AV$5:$AV$504,"Quarter 4")</f>
        <v>0</v>
      </c>
      <c r="O471" s="17" t="str">
        <f t="shared" si="58"/>
        <v>American Indian/Alaska Native</v>
      </c>
      <c r="P471" s="17" t="e">
        <f t="shared" ca="1" si="59"/>
        <v>#N/A</v>
      </c>
    </row>
    <row r="472" spans="6:16" ht="15.75" customHeight="1" thickBot="1">
      <c r="F472" s="20" t="s">
        <v>26</v>
      </c>
      <c r="G472" s="20" t="s">
        <v>234</v>
      </c>
      <c r="H472" s="20">
        <f ca="1">COUNTIFS('Tracking Sheet'!$G$5:$G$504,"Prefers not to identify",'Tracking Sheet'!$AX$5:$AX$504,Calculations!$K$1,'Tracking Sheet'!$AI$5:$AI$504,"Quarter 4")</f>
        <v>0</v>
      </c>
      <c r="I472" s="20" t="str">
        <f t="shared" si="56"/>
        <v>Prefers not to identify</v>
      </c>
      <c r="J472" s="20" t="e">
        <f t="shared" ca="1" si="57"/>
        <v>#N/A</v>
      </c>
      <c r="L472" s="20" t="s">
        <v>26</v>
      </c>
      <c r="M472" s="20" t="s">
        <v>234</v>
      </c>
      <c r="N472" s="20">
        <f ca="1">COUNTIFS('Tracking Sheet'!$G$5:$G$504,"Prefers not to identify",'Tracking Sheet'!$AY$5:$AY$504,Calculations!$K$1,'Tracking Sheet'!$AV$5:$AV$504,"Quarter 4")</f>
        <v>0</v>
      </c>
      <c r="O472" s="20" t="str">
        <f t="shared" si="58"/>
        <v>Prefers not to identify</v>
      </c>
      <c r="P472" s="20" t="e">
        <f t="shared" ca="1" si="59"/>
        <v>#N/A</v>
      </c>
    </row>
    <row r="473" spans="6:16" ht="15.75" customHeight="1" thickTop="1"/>
    <row r="474" spans="6:16" ht="15.75" customHeight="1">
      <c r="F474" s="16" t="s">
        <v>888</v>
      </c>
      <c r="L474" s="16" t="s">
        <v>889</v>
      </c>
    </row>
    <row r="475" spans="6:16" ht="15.75" customHeight="1">
      <c r="F475" s="17" t="s">
        <v>21</v>
      </c>
      <c r="G475" s="18" t="s">
        <v>861</v>
      </c>
      <c r="H475" s="18">
        <f ca="1">COUNTIFS('Tracking Sheet'!$L$5:$L$504,"&lt;26",'Tracking Sheet'!$L$5:$L$504,"&gt;=18",'Tracking Sheet'!$AX$5:$AX$504,Calculations!$K$1,'Tracking Sheet'!$AI$5:$AI$504,"Quarter 1")</f>
        <v>0</v>
      </c>
      <c r="I475" s="18" t="str">
        <f>G475</f>
        <v>18-25</v>
      </c>
      <c r="J475" s="18" t="e">
        <f ca="1">IF(H475=0,NA(),H475)</f>
        <v>#N/A</v>
      </c>
      <c r="L475" s="17" t="s">
        <v>21</v>
      </c>
      <c r="M475" s="18" t="s">
        <v>861</v>
      </c>
      <c r="N475" s="18">
        <f ca="1">COUNTIFS('Tracking Sheet'!$L$5:$L$504,"&lt;26",'Tracking Sheet'!$L$5:$L$504,"&gt;=18",'Tracking Sheet'!$AY$5:$AY$504,Calculations!$K$1,'Tracking Sheet'!$AV$5:$AV$504,"Quarter 1")</f>
        <v>0</v>
      </c>
      <c r="O475" s="18" t="str">
        <f>M475</f>
        <v>18-25</v>
      </c>
      <c r="P475" s="18" t="e">
        <f ca="1">IF(N475=0,NA(),N475)</f>
        <v>#N/A</v>
      </c>
    </row>
    <row r="476" spans="6:16" ht="15.75" customHeight="1">
      <c r="F476" s="17" t="s">
        <v>21</v>
      </c>
      <c r="G476" s="18" t="s">
        <v>862</v>
      </c>
      <c r="H476" s="18">
        <f ca="1">COUNTIFS('Tracking Sheet'!$L$5:$L$504,"&lt;31",'Tracking Sheet'!$L$5:$L$504,"&gt;25",'Tracking Sheet'!$AX$5:$AX$504,Calculations!$K$1,'Tracking Sheet'!$AI$5:$AI$504,"Quarter 1")</f>
        <v>0</v>
      </c>
      <c r="I476" s="18" t="str">
        <f t="shared" ref="I476:I483" si="60">G476</f>
        <v>26-30</v>
      </c>
      <c r="J476" s="18" t="e">
        <f t="shared" ref="J476:J483" ca="1" si="61">IF(H476=0,NA(),H476)</f>
        <v>#N/A</v>
      </c>
      <c r="L476" s="17" t="s">
        <v>21</v>
      </c>
      <c r="M476" s="18" t="s">
        <v>862</v>
      </c>
      <c r="N476" s="18">
        <f ca="1">COUNTIFS('Tracking Sheet'!$L$5:$L$504,"&lt;31",'Tracking Sheet'!$L$5:$L$504,"&gt;25",'Tracking Sheet'!$AY$5:$AY$504,Calculations!$K$1,'Tracking Sheet'!$AV$5:$AV$504,"Quarter 1")</f>
        <v>0</v>
      </c>
      <c r="O476" s="18" t="str">
        <f t="shared" ref="O476:O483" si="62">M476</f>
        <v>26-30</v>
      </c>
      <c r="P476" s="18" t="e">
        <f t="shared" ref="P476:P483" ca="1" si="63">IF(N476=0,NA(),N476)</f>
        <v>#N/A</v>
      </c>
    </row>
    <row r="477" spans="6:16" ht="15.75" customHeight="1">
      <c r="F477" s="17" t="s">
        <v>21</v>
      </c>
      <c r="G477" s="18" t="s">
        <v>863</v>
      </c>
      <c r="H477" s="18">
        <f ca="1">COUNTIFS('Tracking Sheet'!$L$5:$L$504,"&lt;36",'Tracking Sheet'!$L$5:$L$504,"&gt;30",'Tracking Sheet'!$AX$5:$AX$504,Calculations!$K$1,'Tracking Sheet'!$AI$5:$AI$504,"Quarter 1")</f>
        <v>0</v>
      </c>
      <c r="I477" s="18" t="str">
        <f t="shared" si="60"/>
        <v>31-35</v>
      </c>
      <c r="J477" s="18" t="e">
        <f t="shared" ca="1" si="61"/>
        <v>#N/A</v>
      </c>
      <c r="L477" s="17" t="s">
        <v>21</v>
      </c>
      <c r="M477" s="18" t="s">
        <v>863</v>
      </c>
      <c r="N477" s="18">
        <f ca="1">COUNTIFS('Tracking Sheet'!$L$5:$L$504,"&lt;36",'Tracking Sheet'!$L$5:$L$504,"&gt;30",'Tracking Sheet'!$AY$5:$AY$504,Calculations!$K$1,'Tracking Sheet'!$AV$5:$AV$504,"Quarter 1")</f>
        <v>0</v>
      </c>
      <c r="O477" s="18" t="str">
        <f t="shared" si="62"/>
        <v>31-35</v>
      </c>
      <c r="P477" s="18" t="e">
        <f t="shared" ca="1" si="63"/>
        <v>#N/A</v>
      </c>
    </row>
    <row r="478" spans="6:16" ht="15.75" customHeight="1">
      <c r="F478" s="17" t="s">
        <v>21</v>
      </c>
      <c r="G478" s="18" t="s">
        <v>864</v>
      </c>
      <c r="H478" s="18">
        <f ca="1">COUNTIFS('Tracking Sheet'!$L$5:$L$504,"&lt;41",'Tracking Sheet'!$L$5:$L$504,"&gt;35",'Tracking Sheet'!$AX$5:$AX$504,Calculations!$K$1,'Tracking Sheet'!$AI$5:$AI$504,"Quarter 1")</f>
        <v>0</v>
      </c>
      <c r="I478" s="18" t="str">
        <f t="shared" si="60"/>
        <v>36-40</v>
      </c>
      <c r="J478" s="18" t="e">
        <f t="shared" ca="1" si="61"/>
        <v>#N/A</v>
      </c>
      <c r="L478" s="17" t="s">
        <v>21</v>
      </c>
      <c r="M478" s="18" t="s">
        <v>864</v>
      </c>
      <c r="N478" s="18">
        <f ca="1">COUNTIFS('Tracking Sheet'!$L$5:$L$504,"&lt;41",'Tracking Sheet'!$L$5:$L$504,"&gt;35",'Tracking Sheet'!$AY$5:$AY$504,Calculations!$K$1,'Tracking Sheet'!$AV$5:$AV$504,"Quarter 1")</f>
        <v>0</v>
      </c>
      <c r="O478" s="18" t="str">
        <f t="shared" si="62"/>
        <v>36-40</v>
      </c>
      <c r="P478" s="18" t="e">
        <f t="shared" ca="1" si="63"/>
        <v>#N/A</v>
      </c>
    </row>
    <row r="479" spans="6:16" ht="15.75" customHeight="1">
      <c r="F479" s="17" t="s">
        <v>21</v>
      </c>
      <c r="G479" s="18" t="s">
        <v>865</v>
      </c>
      <c r="H479" s="18">
        <f ca="1">COUNTIFS('Tracking Sheet'!$L$5:$L$504,"&lt;46",'Tracking Sheet'!$L$5:$L$504,"&gt;40",'Tracking Sheet'!$AX$5:$AX$504,Calculations!$K$1,'Tracking Sheet'!$AI$5:$AI$504,"Quarter 1")</f>
        <v>0</v>
      </c>
      <c r="I479" s="18" t="str">
        <f t="shared" si="60"/>
        <v>41-45</v>
      </c>
      <c r="J479" s="18" t="e">
        <f t="shared" ca="1" si="61"/>
        <v>#N/A</v>
      </c>
      <c r="L479" s="17" t="s">
        <v>21</v>
      </c>
      <c r="M479" s="18" t="s">
        <v>865</v>
      </c>
      <c r="N479" s="18">
        <f ca="1">COUNTIFS('Tracking Sheet'!$L$5:$L$504,"&lt;46",'Tracking Sheet'!$L$5:$L$504,"&gt;40",'Tracking Sheet'!$AY$5:$AY$504,Calculations!$K$1,'Tracking Sheet'!$AV$5:$AV$504,"Quarter 1")</f>
        <v>0</v>
      </c>
      <c r="O479" s="18" t="str">
        <f t="shared" si="62"/>
        <v>41-45</v>
      </c>
      <c r="P479" s="18" t="e">
        <f t="shared" ca="1" si="63"/>
        <v>#N/A</v>
      </c>
    </row>
    <row r="480" spans="6:16" ht="15.75" customHeight="1">
      <c r="F480" s="17" t="s">
        <v>21</v>
      </c>
      <c r="G480" s="18" t="s">
        <v>866</v>
      </c>
      <c r="H480" s="18">
        <f ca="1">COUNTIFS('Tracking Sheet'!$L$5:$L$504,"&lt;51",'Tracking Sheet'!$L$5:$L$504,"&gt;45",'Tracking Sheet'!$AX$5:$AX$504,Calculations!$K$1,'Tracking Sheet'!$AI$5:$AI$504,"Quarter 1")</f>
        <v>0</v>
      </c>
      <c r="I480" s="18" t="str">
        <f t="shared" si="60"/>
        <v>46-50</v>
      </c>
      <c r="J480" s="18" t="e">
        <f t="shared" ca="1" si="61"/>
        <v>#N/A</v>
      </c>
      <c r="L480" s="17" t="s">
        <v>21</v>
      </c>
      <c r="M480" s="18" t="s">
        <v>866</v>
      </c>
      <c r="N480" s="18">
        <f ca="1">COUNTIFS('Tracking Sheet'!$L$5:$L$504,"&lt;51",'Tracking Sheet'!$L$5:$L$504,"&gt;45",'Tracking Sheet'!$AY$5:$AY$504,Calculations!$K$1,'Tracking Sheet'!$AV$5:$AV$504,"Quarter 1")</f>
        <v>0</v>
      </c>
      <c r="O480" s="18" t="str">
        <f t="shared" si="62"/>
        <v>46-50</v>
      </c>
      <c r="P480" s="18" t="e">
        <f t="shared" ca="1" si="63"/>
        <v>#N/A</v>
      </c>
    </row>
    <row r="481" spans="6:16" ht="15.75" customHeight="1">
      <c r="F481" s="17" t="s">
        <v>21</v>
      </c>
      <c r="G481" s="18" t="s">
        <v>867</v>
      </c>
      <c r="H481" s="18">
        <f ca="1">COUNTIFS('Tracking Sheet'!$L$5:$L$504,"&lt;56",'Tracking Sheet'!$L$5:$L$504,"&gt;50",'Tracking Sheet'!$AX$5:$AX$504,Calculations!$K$1,'Tracking Sheet'!$AI$5:$AI$504,"Quarter 1")</f>
        <v>0</v>
      </c>
      <c r="I481" s="18" t="str">
        <f t="shared" si="60"/>
        <v>51-55</v>
      </c>
      <c r="J481" s="18" t="e">
        <f t="shared" ca="1" si="61"/>
        <v>#N/A</v>
      </c>
      <c r="L481" s="17" t="s">
        <v>21</v>
      </c>
      <c r="M481" s="18" t="s">
        <v>867</v>
      </c>
      <c r="N481" s="18">
        <f ca="1">COUNTIFS('Tracking Sheet'!$L$5:$L$504,"&lt;56",'Tracking Sheet'!$L$5:$L$504,"&gt;50",'Tracking Sheet'!$AY$5:$AY$504,Calculations!$K$1,'Tracking Sheet'!$AV$5:$AV$504,"Quarter 1")</f>
        <v>0</v>
      </c>
      <c r="O481" s="18" t="str">
        <f t="shared" si="62"/>
        <v>51-55</v>
      </c>
      <c r="P481" s="18" t="e">
        <f t="shared" ca="1" si="63"/>
        <v>#N/A</v>
      </c>
    </row>
    <row r="482" spans="6:16" ht="15.75" customHeight="1">
      <c r="F482" s="17" t="s">
        <v>21</v>
      </c>
      <c r="G482" s="18" t="s">
        <v>868</v>
      </c>
      <c r="H482" s="18">
        <f ca="1">COUNTIFS('Tracking Sheet'!$L$5:$L$504,"&lt;61",'Tracking Sheet'!$L$5:$L$504,"&gt;55",'Tracking Sheet'!$AX$5:$AX$504,Calculations!$K$1,'Tracking Sheet'!$AI$5:$AI$504,"Quarter 1")</f>
        <v>0</v>
      </c>
      <c r="I482" s="18" t="str">
        <f t="shared" si="60"/>
        <v>56-60</v>
      </c>
      <c r="J482" s="18" t="e">
        <f t="shared" ca="1" si="61"/>
        <v>#N/A</v>
      </c>
      <c r="L482" s="17" t="s">
        <v>21</v>
      </c>
      <c r="M482" s="18" t="s">
        <v>868</v>
      </c>
      <c r="N482" s="18">
        <f ca="1">COUNTIFS('Tracking Sheet'!$L$5:$L$504,"&lt;61",'Tracking Sheet'!$L$5:$L$504,"&gt;55",'Tracking Sheet'!$AY$5:$AY$504,Calculations!$K$1,'Tracking Sheet'!$AV$5:$AV$504,"Quarter 1")</f>
        <v>0</v>
      </c>
      <c r="O482" s="18" t="str">
        <f t="shared" si="62"/>
        <v>56-60</v>
      </c>
      <c r="P482" s="18" t="e">
        <f t="shared" ca="1" si="63"/>
        <v>#N/A</v>
      </c>
    </row>
    <row r="483" spans="6:16" ht="15.75" customHeight="1" thickBot="1">
      <c r="F483" s="20" t="s">
        <v>21</v>
      </c>
      <c r="G483" s="22" t="s">
        <v>869</v>
      </c>
      <c r="H483" s="22">
        <f ca="1">COUNTIFS('Tracking Sheet'!$L$5:$L$504,"&lt;66",'Tracking Sheet'!$L$5:$L$504,"&gt;60",'Tracking Sheet'!$AX$5:$AX$504,Calculations!$K$1,'Tracking Sheet'!$AI$5:$AI$504,"Quarter 1")</f>
        <v>0</v>
      </c>
      <c r="I483" s="22" t="str">
        <f t="shared" si="60"/>
        <v>61-65</v>
      </c>
      <c r="J483" s="22" t="e">
        <f t="shared" ca="1" si="61"/>
        <v>#N/A</v>
      </c>
      <c r="L483" s="20" t="s">
        <v>21</v>
      </c>
      <c r="M483" s="22" t="s">
        <v>869</v>
      </c>
      <c r="N483" s="22">
        <f ca="1">COUNTIFS('Tracking Sheet'!$L$5:$L$504,"&lt;66",'Tracking Sheet'!$L$5:$L$504,"&gt;60",'Tracking Sheet'!$AY$5:$AY$504,Calculations!$K$1,'Tracking Sheet'!$AV$5:$AV$504,"Quarter 1")</f>
        <v>0</v>
      </c>
      <c r="O483" s="22" t="str">
        <f t="shared" si="62"/>
        <v>61-65</v>
      </c>
      <c r="P483" s="22" t="e">
        <f t="shared" ca="1" si="63"/>
        <v>#N/A</v>
      </c>
    </row>
    <row r="484" spans="6:16" ht="15.75" customHeight="1" thickTop="1">
      <c r="F484" s="17" t="s">
        <v>22</v>
      </c>
      <c r="G484" s="18" t="s">
        <v>861</v>
      </c>
      <c r="H484" s="23">
        <f ca="1">COUNTIFS('Tracking Sheet'!$L$5:$L$504,"&lt;26",'Tracking Sheet'!$L$5:$L$504,"&gt;=18",'Tracking Sheet'!$AX$5:$AX$504,Calculations!$K$1,'Tracking Sheet'!$AI$5:$AI$504,"Quarter 2")</f>
        <v>0</v>
      </c>
      <c r="I484" s="18" t="str">
        <f>G484</f>
        <v>18-25</v>
      </c>
      <c r="J484" s="23" t="e">
        <f ca="1">IF(H484=0,NA(),H484)</f>
        <v>#N/A</v>
      </c>
      <c r="L484" s="17" t="s">
        <v>22</v>
      </c>
      <c r="M484" s="18" t="s">
        <v>861</v>
      </c>
      <c r="N484" s="23">
        <f ca="1">COUNTIFS('Tracking Sheet'!$L$5:$L$504,"&lt;26",'Tracking Sheet'!$L$5:$L$504,"&gt;=18",'Tracking Sheet'!$AY$5:$AY$504,Calculations!$K$1,'Tracking Sheet'!$AV$5:$AV$504,"Quarter 2")</f>
        <v>0</v>
      </c>
      <c r="O484" s="18" t="str">
        <f>M484</f>
        <v>18-25</v>
      </c>
      <c r="P484" s="23" t="e">
        <f ca="1">IF(N484=0,NA(),N484)</f>
        <v>#N/A</v>
      </c>
    </row>
    <row r="485" spans="6:16" ht="15.75" customHeight="1">
      <c r="F485" s="17" t="s">
        <v>22</v>
      </c>
      <c r="G485" s="18" t="s">
        <v>862</v>
      </c>
      <c r="H485" s="18">
        <f ca="1">COUNTIFS('Tracking Sheet'!$L$5:$L$504,"&lt;31",'Tracking Sheet'!$L$5:$L$504,"&gt;25",'Tracking Sheet'!$AX$5:$AX$504,Calculations!$K$1,'Tracking Sheet'!$AI$5:$AI$504,"Quarter 2")</f>
        <v>0</v>
      </c>
      <c r="I485" s="18" t="str">
        <f t="shared" ref="I485:I492" si="64">G485</f>
        <v>26-30</v>
      </c>
      <c r="J485" s="18" t="e">
        <f t="shared" ref="J485:J492" ca="1" si="65">IF(H485=0,NA(),H485)</f>
        <v>#N/A</v>
      </c>
      <c r="L485" s="17" t="s">
        <v>22</v>
      </c>
      <c r="M485" s="18" t="s">
        <v>862</v>
      </c>
      <c r="N485" s="18">
        <f ca="1">COUNTIFS('Tracking Sheet'!$L$5:$L$504,"&lt;31",'Tracking Sheet'!$L$5:$L$504,"&gt;25",'Tracking Sheet'!$AY$5:$AY$504,Calculations!$K$1,'Tracking Sheet'!$AV$5:$AV$504,"Quarter 2")</f>
        <v>0</v>
      </c>
      <c r="O485" s="18" t="str">
        <f t="shared" ref="O485:O492" si="66">M485</f>
        <v>26-30</v>
      </c>
      <c r="P485" s="18" t="e">
        <f t="shared" ref="P485:P492" ca="1" si="67">IF(N485=0,NA(),N485)</f>
        <v>#N/A</v>
      </c>
    </row>
    <row r="486" spans="6:16" ht="15.75" customHeight="1">
      <c r="F486" s="17" t="s">
        <v>22</v>
      </c>
      <c r="G486" s="18" t="s">
        <v>863</v>
      </c>
      <c r="H486" s="18">
        <f ca="1">COUNTIFS('Tracking Sheet'!$L$5:$L$504,"&lt;36",'Tracking Sheet'!$L$5:$L$504,"&gt;30",'Tracking Sheet'!$AX$5:$AX$504,Calculations!$K$1,'Tracking Sheet'!$AI$5:$AI$504,"Quarter 2")</f>
        <v>0</v>
      </c>
      <c r="I486" s="18" t="str">
        <f t="shared" si="64"/>
        <v>31-35</v>
      </c>
      <c r="J486" s="18" t="e">
        <f t="shared" ca="1" si="65"/>
        <v>#N/A</v>
      </c>
      <c r="L486" s="17" t="s">
        <v>22</v>
      </c>
      <c r="M486" s="18" t="s">
        <v>863</v>
      </c>
      <c r="N486" s="18">
        <f ca="1">COUNTIFS('Tracking Sheet'!$L$5:$L$504,"&lt;36",'Tracking Sheet'!$L$5:$L$504,"&gt;30",'Tracking Sheet'!$AY$5:$AY$504,Calculations!$K$1,'Tracking Sheet'!$AV$5:$AV$504,"Quarter 2")</f>
        <v>0</v>
      </c>
      <c r="O486" s="18" t="str">
        <f t="shared" si="66"/>
        <v>31-35</v>
      </c>
      <c r="P486" s="18" t="e">
        <f t="shared" ca="1" si="67"/>
        <v>#N/A</v>
      </c>
    </row>
    <row r="487" spans="6:16" ht="15.75" customHeight="1">
      <c r="F487" s="17" t="s">
        <v>22</v>
      </c>
      <c r="G487" s="18" t="s">
        <v>864</v>
      </c>
      <c r="H487" s="18">
        <f ca="1">COUNTIFS('Tracking Sheet'!$L$5:$L$504,"&lt;41",'Tracking Sheet'!$L$5:$L$504,"&gt;35",'Tracking Sheet'!$AX$5:$AX$504,Calculations!$K$1,'Tracking Sheet'!$AI$5:$AI$504,"Quarter 2")</f>
        <v>0</v>
      </c>
      <c r="I487" s="18" t="str">
        <f t="shared" si="64"/>
        <v>36-40</v>
      </c>
      <c r="J487" s="18" t="e">
        <f t="shared" ca="1" si="65"/>
        <v>#N/A</v>
      </c>
      <c r="L487" s="17" t="s">
        <v>22</v>
      </c>
      <c r="M487" s="18" t="s">
        <v>864</v>
      </c>
      <c r="N487" s="18">
        <f ca="1">COUNTIFS('Tracking Sheet'!$L$5:$L$504,"&lt;41",'Tracking Sheet'!$L$5:$L$504,"&gt;35",'Tracking Sheet'!$AY$5:$AY$504,Calculations!$K$1,'Tracking Sheet'!$AV$5:$AV$504,"Quarter 2")</f>
        <v>0</v>
      </c>
      <c r="O487" s="18" t="str">
        <f t="shared" si="66"/>
        <v>36-40</v>
      </c>
      <c r="P487" s="18" t="e">
        <f t="shared" ca="1" si="67"/>
        <v>#N/A</v>
      </c>
    </row>
    <row r="488" spans="6:16" ht="15.75" customHeight="1">
      <c r="F488" s="17" t="s">
        <v>22</v>
      </c>
      <c r="G488" s="18" t="s">
        <v>865</v>
      </c>
      <c r="H488" s="18">
        <f ca="1">COUNTIFS('Tracking Sheet'!$L$5:$L$504,"&lt;46",'Tracking Sheet'!$L$5:$L$504,"&gt;40",'Tracking Sheet'!$AX$5:$AX$504,Calculations!$K$1,'Tracking Sheet'!$AI$5:$AI$504,"Quarter 2")</f>
        <v>0</v>
      </c>
      <c r="I488" s="18" t="str">
        <f t="shared" si="64"/>
        <v>41-45</v>
      </c>
      <c r="J488" s="18" t="e">
        <f t="shared" ca="1" si="65"/>
        <v>#N/A</v>
      </c>
      <c r="L488" s="17" t="s">
        <v>22</v>
      </c>
      <c r="M488" s="18" t="s">
        <v>865</v>
      </c>
      <c r="N488" s="18">
        <f ca="1">COUNTIFS('Tracking Sheet'!$L$5:$L$504,"&lt;46",'Tracking Sheet'!$L$5:$L$504,"&gt;40",'Tracking Sheet'!$AY$5:$AY$504,Calculations!$K$1,'Tracking Sheet'!$AV$5:$AV$504,"Quarter 2")</f>
        <v>0</v>
      </c>
      <c r="O488" s="18" t="str">
        <f t="shared" si="66"/>
        <v>41-45</v>
      </c>
      <c r="P488" s="18" t="e">
        <f t="shared" ca="1" si="67"/>
        <v>#N/A</v>
      </c>
    </row>
    <row r="489" spans="6:16" ht="15.75" customHeight="1">
      <c r="F489" s="17" t="s">
        <v>22</v>
      </c>
      <c r="G489" s="18" t="s">
        <v>866</v>
      </c>
      <c r="H489" s="18">
        <f ca="1">COUNTIFS('Tracking Sheet'!$L$5:$L$504,"&lt;51",'Tracking Sheet'!$L$5:$L$504,"&gt;45",'Tracking Sheet'!$AX$5:$AX$504,Calculations!$K$1,'Tracking Sheet'!$AI$5:$AI$504,"Quarter 2")</f>
        <v>0</v>
      </c>
      <c r="I489" s="18" t="str">
        <f t="shared" si="64"/>
        <v>46-50</v>
      </c>
      <c r="J489" s="18" t="e">
        <f t="shared" ca="1" si="65"/>
        <v>#N/A</v>
      </c>
      <c r="L489" s="17" t="s">
        <v>22</v>
      </c>
      <c r="M489" s="18" t="s">
        <v>866</v>
      </c>
      <c r="N489" s="18">
        <f ca="1">COUNTIFS('Tracking Sheet'!$L$5:$L$504,"&lt;51",'Tracking Sheet'!$L$5:$L$504,"&gt;45",'Tracking Sheet'!$AY$5:$AY$504,Calculations!$K$1,'Tracking Sheet'!$AV$5:$AV$504,"Quarter 2")</f>
        <v>0</v>
      </c>
      <c r="O489" s="18" t="str">
        <f t="shared" si="66"/>
        <v>46-50</v>
      </c>
      <c r="P489" s="18" t="e">
        <f t="shared" ca="1" si="67"/>
        <v>#N/A</v>
      </c>
    </row>
    <row r="490" spans="6:16" ht="15.75" customHeight="1">
      <c r="F490" s="17" t="s">
        <v>22</v>
      </c>
      <c r="G490" s="18" t="s">
        <v>867</v>
      </c>
      <c r="H490" s="18">
        <f ca="1">COUNTIFS('Tracking Sheet'!$L$5:$L$504,"&lt;56",'Tracking Sheet'!$L$5:$L$504,"&gt;50",'Tracking Sheet'!$AX$5:$AX$504,Calculations!$K$1,'Tracking Sheet'!$AI$5:$AI$504,"Quarter 2")</f>
        <v>0</v>
      </c>
      <c r="I490" s="18" t="str">
        <f t="shared" si="64"/>
        <v>51-55</v>
      </c>
      <c r="J490" s="18" t="e">
        <f t="shared" ca="1" si="65"/>
        <v>#N/A</v>
      </c>
      <c r="L490" s="17" t="s">
        <v>22</v>
      </c>
      <c r="M490" s="18" t="s">
        <v>867</v>
      </c>
      <c r="N490" s="18">
        <f ca="1">COUNTIFS('Tracking Sheet'!$L$5:$L$504,"&lt;56",'Tracking Sheet'!$L$5:$L$504,"&gt;50",'Tracking Sheet'!$AY$5:$AY$504,Calculations!$K$1,'Tracking Sheet'!$AV$5:$AV$504,"Quarter 2")</f>
        <v>0</v>
      </c>
      <c r="O490" s="18" t="str">
        <f t="shared" si="66"/>
        <v>51-55</v>
      </c>
      <c r="P490" s="18" t="e">
        <f t="shared" ca="1" si="67"/>
        <v>#N/A</v>
      </c>
    </row>
    <row r="491" spans="6:16" ht="15.75" customHeight="1">
      <c r="F491" s="17" t="s">
        <v>22</v>
      </c>
      <c r="G491" s="18" t="s">
        <v>868</v>
      </c>
      <c r="H491" s="18">
        <f ca="1">COUNTIFS('Tracking Sheet'!$L$5:$L$504,"&lt;61",'Tracking Sheet'!$L$5:$L$504,"&gt;55",'Tracking Sheet'!$AX$5:$AX$504,Calculations!$K$1,'Tracking Sheet'!$AI$5:$AI$504,"Quarter 2")</f>
        <v>0</v>
      </c>
      <c r="I491" s="18" t="str">
        <f t="shared" si="64"/>
        <v>56-60</v>
      </c>
      <c r="J491" s="18" t="e">
        <f t="shared" ca="1" si="65"/>
        <v>#N/A</v>
      </c>
      <c r="L491" s="17" t="s">
        <v>22</v>
      </c>
      <c r="M491" s="18" t="s">
        <v>868</v>
      </c>
      <c r="N491" s="18">
        <f ca="1">COUNTIFS('Tracking Sheet'!$L$5:$L$504,"&lt;61",'Tracking Sheet'!$L$5:$L$504,"&gt;55",'Tracking Sheet'!$AY$5:$AY$504,Calculations!$K$1,'Tracking Sheet'!$AV$5:$AV$504,"Quarter 2")</f>
        <v>0</v>
      </c>
      <c r="O491" s="18" t="str">
        <f t="shared" si="66"/>
        <v>56-60</v>
      </c>
      <c r="P491" s="18" t="e">
        <f t="shared" ca="1" si="67"/>
        <v>#N/A</v>
      </c>
    </row>
    <row r="492" spans="6:16" ht="15.75" customHeight="1" thickBot="1">
      <c r="F492" s="20" t="s">
        <v>22</v>
      </c>
      <c r="G492" s="22" t="s">
        <v>869</v>
      </c>
      <c r="H492" s="22">
        <f ca="1">COUNTIFS('Tracking Sheet'!$L$5:$L$504,"&lt;66",'Tracking Sheet'!$L$5:$L$504,"&gt;60",'Tracking Sheet'!$AX$5:$AX$504,Calculations!$K$1,'Tracking Sheet'!$AI$5:$AI$504,"Quarter 2")</f>
        <v>0</v>
      </c>
      <c r="I492" s="22" t="str">
        <f t="shared" si="64"/>
        <v>61-65</v>
      </c>
      <c r="J492" s="22" t="e">
        <f t="shared" ca="1" si="65"/>
        <v>#N/A</v>
      </c>
      <c r="L492" s="20" t="s">
        <v>22</v>
      </c>
      <c r="M492" s="22" t="s">
        <v>869</v>
      </c>
      <c r="N492" s="22">
        <f ca="1">COUNTIFS('Tracking Sheet'!$L$5:$L$504,"&lt;66",'Tracking Sheet'!$L$5:$L$504,"&gt;60",'Tracking Sheet'!$AY$5:$AY$504,Calculations!$K$1,'Tracking Sheet'!$AV$5:$AV$504,"Quarter 2")</f>
        <v>0</v>
      </c>
      <c r="O492" s="22" t="str">
        <f t="shared" si="66"/>
        <v>61-65</v>
      </c>
      <c r="P492" s="22" t="e">
        <f t="shared" ca="1" si="67"/>
        <v>#N/A</v>
      </c>
    </row>
    <row r="493" spans="6:16" ht="15.75" customHeight="1" thickTop="1">
      <c r="F493" s="17" t="s">
        <v>25</v>
      </c>
      <c r="G493" s="18" t="s">
        <v>861</v>
      </c>
      <c r="H493" s="23">
        <f ca="1">COUNTIFS('Tracking Sheet'!$L$5:$L$504,"&lt;26",'Tracking Sheet'!$L$5:$L$504,"&gt;=18",'Tracking Sheet'!$AX$5:$AX$504,Calculations!$K$1,'Tracking Sheet'!$AI$5:$AI$504,"Quarter 3")</f>
        <v>0</v>
      </c>
      <c r="I493" s="18" t="str">
        <f>G493</f>
        <v>18-25</v>
      </c>
      <c r="J493" s="23" t="e">
        <f ca="1">IF(H493=0,NA(),H493)</f>
        <v>#N/A</v>
      </c>
      <c r="L493" s="17" t="s">
        <v>25</v>
      </c>
      <c r="M493" s="18" t="s">
        <v>861</v>
      </c>
      <c r="N493" s="23">
        <f ca="1">COUNTIFS('Tracking Sheet'!$L$5:$L$504,"&lt;26",'Tracking Sheet'!$L$5:$L$504,"&gt;=18",'Tracking Sheet'!$AY$5:$AY$504,Calculations!$K$1,'Tracking Sheet'!$AV$5:$AV$504,"Quarter 3")</f>
        <v>0</v>
      </c>
      <c r="O493" s="18" t="str">
        <f>M493</f>
        <v>18-25</v>
      </c>
      <c r="P493" s="23" t="e">
        <f ca="1">IF(N493=0,NA(),N493)</f>
        <v>#N/A</v>
      </c>
    </row>
    <row r="494" spans="6:16" ht="15.75" customHeight="1">
      <c r="F494" s="17" t="s">
        <v>25</v>
      </c>
      <c r="G494" s="18" t="s">
        <v>862</v>
      </c>
      <c r="H494" s="18">
        <f ca="1">COUNTIFS('Tracking Sheet'!$L$5:$L$504,"&lt;31",'Tracking Sheet'!$L$5:$L$504,"&gt;25",'Tracking Sheet'!$AX$5:$AX$504,Calculations!$K$1,'Tracking Sheet'!$AI$5:$AI$504,"Quarter 3")</f>
        <v>0</v>
      </c>
      <c r="I494" s="18" t="str">
        <f t="shared" ref="I494:I501" si="68">G494</f>
        <v>26-30</v>
      </c>
      <c r="J494" s="18" t="e">
        <f t="shared" ref="J494:J501" ca="1" si="69">IF(H494=0,NA(),H494)</f>
        <v>#N/A</v>
      </c>
      <c r="L494" s="17" t="s">
        <v>25</v>
      </c>
      <c r="M494" s="18" t="s">
        <v>862</v>
      </c>
      <c r="N494" s="18">
        <f ca="1">COUNTIFS('Tracking Sheet'!$L$5:$L$504,"&lt;31",'Tracking Sheet'!$L$5:$L$504,"&gt;25",'Tracking Sheet'!$AY$5:$AY$504,Calculations!$K$1,'Tracking Sheet'!$AV$5:$AV$504,"Quarter 3")</f>
        <v>0</v>
      </c>
      <c r="O494" s="18" t="str">
        <f t="shared" ref="O494:O501" si="70">M494</f>
        <v>26-30</v>
      </c>
      <c r="P494" s="18" t="e">
        <f t="shared" ref="P494:P501" ca="1" si="71">IF(N494=0,NA(),N494)</f>
        <v>#N/A</v>
      </c>
    </row>
    <row r="495" spans="6:16" ht="15.75" customHeight="1">
      <c r="F495" s="17" t="s">
        <v>25</v>
      </c>
      <c r="G495" s="18" t="s">
        <v>863</v>
      </c>
      <c r="H495" s="18">
        <f ca="1">COUNTIFS('Tracking Sheet'!$L$5:$L$504,"&lt;36",'Tracking Sheet'!$L$5:$L$504,"&gt;30",'Tracking Sheet'!$AX$5:$AX$504,Calculations!$K$1,'Tracking Sheet'!$AI$5:$AI$504,"Quarter 3")</f>
        <v>0</v>
      </c>
      <c r="I495" s="18" t="str">
        <f t="shared" si="68"/>
        <v>31-35</v>
      </c>
      <c r="J495" s="18" t="e">
        <f t="shared" ca="1" si="69"/>
        <v>#N/A</v>
      </c>
      <c r="L495" s="17" t="s">
        <v>25</v>
      </c>
      <c r="M495" s="18" t="s">
        <v>863</v>
      </c>
      <c r="N495" s="18">
        <f ca="1">COUNTIFS('Tracking Sheet'!$L$5:$L$504,"&lt;36",'Tracking Sheet'!$L$5:$L$504,"&gt;30",'Tracking Sheet'!$AY$5:$AY$504,Calculations!$K$1,'Tracking Sheet'!$AV$5:$AV$504,"Quarter 3")</f>
        <v>0</v>
      </c>
      <c r="O495" s="18" t="str">
        <f t="shared" si="70"/>
        <v>31-35</v>
      </c>
      <c r="P495" s="18" t="e">
        <f t="shared" ca="1" si="71"/>
        <v>#N/A</v>
      </c>
    </row>
    <row r="496" spans="6:16" ht="15.75" customHeight="1">
      <c r="F496" s="17" t="s">
        <v>25</v>
      </c>
      <c r="G496" s="18" t="s">
        <v>864</v>
      </c>
      <c r="H496" s="18">
        <f ca="1">COUNTIFS('Tracking Sheet'!$L$5:$L$504,"&lt;41",'Tracking Sheet'!$L$5:$L$504,"&gt;35",'Tracking Sheet'!$AX$5:$AX$504,Calculations!$K$1,'Tracking Sheet'!$AI$5:$AI$504,"Quarter 3")</f>
        <v>0</v>
      </c>
      <c r="I496" s="18" t="str">
        <f t="shared" si="68"/>
        <v>36-40</v>
      </c>
      <c r="J496" s="18" t="e">
        <f t="shared" ca="1" si="69"/>
        <v>#N/A</v>
      </c>
      <c r="L496" s="17" t="s">
        <v>25</v>
      </c>
      <c r="M496" s="18" t="s">
        <v>864</v>
      </c>
      <c r="N496" s="18">
        <f ca="1">COUNTIFS('Tracking Sheet'!$L$5:$L$504,"&lt;41",'Tracking Sheet'!$L$5:$L$504,"&gt;35",'Tracking Sheet'!$AY$5:$AY$504,Calculations!$K$1,'Tracking Sheet'!$AV$5:$AV$504,"Quarter 3")</f>
        <v>0</v>
      </c>
      <c r="O496" s="18" t="str">
        <f t="shared" si="70"/>
        <v>36-40</v>
      </c>
      <c r="P496" s="18" t="e">
        <f t="shared" ca="1" si="71"/>
        <v>#N/A</v>
      </c>
    </row>
    <row r="497" spans="6:16" ht="15.75" customHeight="1">
      <c r="F497" s="17" t="s">
        <v>25</v>
      </c>
      <c r="G497" s="18" t="s">
        <v>865</v>
      </c>
      <c r="H497" s="18">
        <f ca="1">COUNTIFS('Tracking Sheet'!$L$5:$L$504,"&lt;46",'Tracking Sheet'!$L$5:$L$504,"&gt;40",'Tracking Sheet'!$AX$5:$AX$504,Calculations!$K$1,'Tracking Sheet'!$AI$5:$AI$504,"Quarter 3")</f>
        <v>0</v>
      </c>
      <c r="I497" s="18" t="str">
        <f t="shared" si="68"/>
        <v>41-45</v>
      </c>
      <c r="J497" s="18" t="e">
        <f t="shared" ca="1" si="69"/>
        <v>#N/A</v>
      </c>
      <c r="L497" s="17" t="s">
        <v>25</v>
      </c>
      <c r="M497" s="18" t="s">
        <v>865</v>
      </c>
      <c r="N497" s="18">
        <f ca="1">COUNTIFS('Tracking Sheet'!$L$5:$L$504,"&lt;46",'Tracking Sheet'!$L$5:$L$504,"&gt;40",'Tracking Sheet'!$AY$5:$AY$504,Calculations!$K$1,'Tracking Sheet'!$AV$5:$AV$504,"Quarter 3")</f>
        <v>0</v>
      </c>
      <c r="O497" s="18" t="str">
        <f t="shared" si="70"/>
        <v>41-45</v>
      </c>
      <c r="P497" s="18" t="e">
        <f t="shared" ca="1" si="71"/>
        <v>#N/A</v>
      </c>
    </row>
    <row r="498" spans="6:16" ht="15.75" customHeight="1">
      <c r="F498" s="17" t="s">
        <v>25</v>
      </c>
      <c r="G498" s="18" t="s">
        <v>866</v>
      </c>
      <c r="H498" s="18">
        <f ca="1">COUNTIFS('Tracking Sheet'!$L$5:$L$504,"&lt;51",'Tracking Sheet'!$L$5:$L$504,"&gt;45",'Tracking Sheet'!$AX$5:$AX$504,Calculations!$K$1,'Tracking Sheet'!$AI$5:$AI$504,"Quarter 3")</f>
        <v>0</v>
      </c>
      <c r="I498" s="18" t="str">
        <f t="shared" si="68"/>
        <v>46-50</v>
      </c>
      <c r="J498" s="18" t="e">
        <f t="shared" ca="1" si="69"/>
        <v>#N/A</v>
      </c>
      <c r="L498" s="17" t="s">
        <v>25</v>
      </c>
      <c r="M498" s="18" t="s">
        <v>866</v>
      </c>
      <c r="N498" s="18">
        <f ca="1">COUNTIFS('Tracking Sheet'!$L$5:$L$504,"&lt;51",'Tracking Sheet'!$L$5:$L$504,"&gt;45",'Tracking Sheet'!$AY$5:$AY$504,Calculations!$K$1,'Tracking Sheet'!$AV$5:$AV$504,"Quarter 3")</f>
        <v>0</v>
      </c>
      <c r="O498" s="18" t="str">
        <f t="shared" si="70"/>
        <v>46-50</v>
      </c>
      <c r="P498" s="18" t="e">
        <f t="shared" ca="1" si="71"/>
        <v>#N/A</v>
      </c>
    </row>
    <row r="499" spans="6:16" ht="15.75" customHeight="1">
      <c r="F499" s="17" t="s">
        <v>25</v>
      </c>
      <c r="G499" s="18" t="s">
        <v>867</v>
      </c>
      <c r="H499" s="18">
        <f ca="1">COUNTIFS('Tracking Sheet'!$L$5:$L$504,"&lt;56",'Tracking Sheet'!$L$5:$L$504,"&gt;50",'Tracking Sheet'!$AX$5:$AX$504,Calculations!$K$1,'Tracking Sheet'!$AI$5:$AI$504,"Quarter 3")</f>
        <v>0</v>
      </c>
      <c r="I499" s="18" t="str">
        <f t="shared" si="68"/>
        <v>51-55</v>
      </c>
      <c r="J499" s="18" t="e">
        <f t="shared" ca="1" si="69"/>
        <v>#N/A</v>
      </c>
      <c r="L499" s="17" t="s">
        <v>25</v>
      </c>
      <c r="M499" s="18" t="s">
        <v>867</v>
      </c>
      <c r="N499" s="18">
        <f ca="1">COUNTIFS('Tracking Sheet'!$L$5:$L$504,"&lt;56",'Tracking Sheet'!$L$5:$L$504,"&gt;50",'Tracking Sheet'!$AY$5:$AY$504,Calculations!$K$1,'Tracking Sheet'!$AV$5:$AV$504,"Quarter 3")</f>
        <v>0</v>
      </c>
      <c r="O499" s="18" t="str">
        <f t="shared" si="70"/>
        <v>51-55</v>
      </c>
      <c r="P499" s="18" t="e">
        <f t="shared" ca="1" si="71"/>
        <v>#N/A</v>
      </c>
    </row>
    <row r="500" spans="6:16" ht="15.75" customHeight="1">
      <c r="F500" s="17" t="s">
        <v>25</v>
      </c>
      <c r="G500" s="18" t="s">
        <v>868</v>
      </c>
      <c r="H500" s="18">
        <f ca="1">COUNTIFS('Tracking Sheet'!$L$5:$L$504,"&lt;61",'Tracking Sheet'!$L$5:$L$504,"&gt;55",'Tracking Sheet'!$AX$5:$AX$504,Calculations!$K$1,'Tracking Sheet'!$AI$5:$AI$504,"Quarter 3")</f>
        <v>0</v>
      </c>
      <c r="I500" s="18" t="str">
        <f t="shared" si="68"/>
        <v>56-60</v>
      </c>
      <c r="J500" s="18" t="e">
        <f t="shared" ca="1" si="69"/>
        <v>#N/A</v>
      </c>
      <c r="L500" s="17" t="s">
        <v>25</v>
      </c>
      <c r="M500" s="18" t="s">
        <v>868</v>
      </c>
      <c r="N500" s="18">
        <f ca="1">COUNTIFS('Tracking Sheet'!$L$5:$L$504,"&lt;61",'Tracking Sheet'!$L$5:$L$504,"&gt;55",'Tracking Sheet'!$AY$5:$AY$504,Calculations!$K$1,'Tracking Sheet'!$AV$5:$AV$504,"Quarter 3")</f>
        <v>0</v>
      </c>
      <c r="O500" s="18" t="str">
        <f t="shared" si="70"/>
        <v>56-60</v>
      </c>
      <c r="P500" s="18" t="e">
        <f t="shared" ca="1" si="71"/>
        <v>#N/A</v>
      </c>
    </row>
    <row r="501" spans="6:16" ht="15.75" customHeight="1" thickBot="1">
      <c r="F501" s="20" t="s">
        <v>25</v>
      </c>
      <c r="G501" s="22" t="s">
        <v>869</v>
      </c>
      <c r="H501" s="22">
        <f ca="1">COUNTIFS('Tracking Sheet'!$L$5:$L$504,"&lt;66",'Tracking Sheet'!$L$5:$L$504,"&gt;60",'Tracking Sheet'!$AX$5:$AX$504,Calculations!$K$1,'Tracking Sheet'!$AI$5:$AI$504,"Quarter 3")</f>
        <v>0</v>
      </c>
      <c r="I501" s="22" t="str">
        <f t="shared" si="68"/>
        <v>61-65</v>
      </c>
      <c r="J501" s="22" t="e">
        <f t="shared" ca="1" si="69"/>
        <v>#N/A</v>
      </c>
      <c r="L501" s="20" t="s">
        <v>25</v>
      </c>
      <c r="M501" s="22" t="s">
        <v>869</v>
      </c>
      <c r="N501" s="22">
        <f ca="1">COUNTIFS('Tracking Sheet'!$L$5:$L$504,"&lt;66",'Tracking Sheet'!$L$5:$L$504,"&gt;60",'Tracking Sheet'!$AY$5:$AY$504,Calculations!$K$1,'Tracking Sheet'!$AV$5:$AV$504,"Quarter 3")</f>
        <v>0</v>
      </c>
      <c r="O501" s="22" t="str">
        <f t="shared" si="70"/>
        <v>61-65</v>
      </c>
      <c r="P501" s="22" t="e">
        <f t="shared" ca="1" si="71"/>
        <v>#N/A</v>
      </c>
    </row>
    <row r="502" spans="6:16" ht="15.75" customHeight="1" thickTop="1">
      <c r="F502" s="17" t="s">
        <v>26</v>
      </c>
      <c r="G502" s="18" t="s">
        <v>861</v>
      </c>
      <c r="H502" s="23">
        <f ca="1">COUNTIFS('Tracking Sheet'!$L$5:$L$504,"&lt;26",'Tracking Sheet'!$L$5:$L$504,"&gt;=18",'Tracking Sheet'!$AX$5:$AX$504,Calculations!$K$1,'Tracking Sheet'!$AI$5:$AI$504,"Quarter 4")</f>
        <v>0</v>
      </c>
      <c r="I502" s="18" t="str">
        <f>G502</f>
        <v>18-25</v>
      </c>
      <c r="J502" s="23" t="e">
        <f ca="1">IF(H502=0,NA(),H502)</f>
        <v>#N/A</v>
      </c>
      <c r="L502" s="17" t="s">
        <v>26</v>
      </c>
      <c r="M502" s="18" t="s">
        <v>861</v>
      </c>
      <c r="N502" s="23">
        <f ca="1">COUNTIFS('Tracking Sheet'!$L$5:$L$504,"&lt;26",'Tracking Sheet'!$L$5:$L$504,"&gt;=18",'Tracking Sheet'!$AY$5:$AY$504,Calculations!$K$1,'Tracking Sheet'!$AV$5:$AV$504,"Quarter 4")</f>
        <v>0</v>
      </c>
      <c r="O502" s="18" t="str">
        <f>M502</f>
        <v>18-25</v>
      </c>
      <c r="P502" s="23" t="e">
        <f ca="1">IF(N502=0,NA(),N502)</f>
        <v>#N/A</v>
      </c>
    </row>
    <row r="503" spans="6:16" ht="15.75" customHeight="1">
      <c r="F503" s="17" t="s">
        <v>26</v>
      </c>
      <c r="G503" s="18" t="s">
        <v>862</v>
      </c>
      <c r="H503" s="18">
        <f ca="1">COUNTIFS('Tracking Sheet'!$L$5:$L$504,"&lt;31",'Tracking Sheet'!$L$5:$L$504,"&gt;25",'Tracking Sheet'!$AX$5:$AX$504,Calculations!$K$1,'Tracking Sheet'!$AI$5:$AI$504,"Quarter 4")</f>
        <v>0</v>
      </c>
      <c r="I503" s="18" t="str">
        <f t="shared" ref="I503:I510" si="72">G503</f>
        <v>26-30</v>
      </c>
      <c r="J503" s="18" t="e">
        <f t="shared" ref="J503:J510" ca="1" si="73">IF(H503=0,NA(),H503)</f>
        <v>#N/A</v>
      </c>
      <c r="L503" s="17" t="s">
        <v>26</v>
      </c>
      <c r="M503" s="18" t="s">
        <v>862</v>
      </c>
      <c r="N503" s="18">
        <f ca="1">COUNTIFS('Tracking Sheet'!$L$5:$L$504,"&lt;31",'Tracking Sheet'!$L$5:$L$504,"&gt;25",'Tracking Sheet'!$AY$5:$AY$504,Calculations!$K$1,'Tracking Sheet'!$AV$5:$AV$504,"Quarter 4")</f>
        <v>0</v>
      </c>
      <c r="O503" s="18" t="str">
        <f t="shared" ref="O503:O510" si="74">M503</f>
        <v>26-30</v>
      </c>
      <c r="P503" s="18" t="e">
        <f t="shared" ref="P503:P510" ca="1" si="75">IF(N503=0,NA(),N503)</f>
        <v>#N/A</v>
      </c>
    </row>
    <row r="504" spans="6:16" ht="15.75" customHeight="1">
      <c r="F504" s="17" t="s">
        <v>26</v>
      </c>
      <c r="G504" s="18" t="s">
        <v>863</v>
      </c>
      <c r="H504" s="18">
        <f ca="1">COUNTIFS('Tracking Sheet'!$L$5:$L$504,"&lt;36",'Tracking Sheet'!$L$5:$L$504,"&gt;30",'Tracking Sheet'!$AX$5:$AX$504,Calculations!$K$1,'Tracking Sheet'!$AI$5:$AI$504,"Quarter 4")</f>
        <v>0</v>
      </c>
      <c r="I504" s="18" t="str">
        <f t="shared" si="72"/>
        <v>31-35</v>
      </c>
      <c r="J504" s="18" t="e">
        <f t="shared" ca="1" si="73"/>
        <v>#N/A</v>
      </c>
      <c r="L504" s="17" t="s">
        <v>26</v>
      </c>
      <c r="M504" s="18" t="s">
        <v>863</v>
      </c>
      <c r="N504" s="18">
        <f ca="1">COUNTIFS('Tracking Sheet'!$L$5:$L$504,"&lt;36",'Tracking Sheet'!$L$5:$L$504,"&gt;30",'Tracking Sheet'!$AY$5:$AY$504,Calculations!$K$1,'Tracking Sheet'!$AV$5:$AV$504,"Quarter 4")</f>
        <v>0</v>
      </c>
      <c r="O504" s="18" t="str">
        <f t="shared" si="74"/>
        <v>31-35</v>
      </c>
      <c r="P504" s="18" t="e">
        <f t="shared" ca="1" si="75"/>
        <v>#N/A</v>
      </c>
    </row>
    <row r="505" spans="6:16" ht="15.75" customHeight="1">
      <c r="F505" s="17" t="s">
        <v>26</v>
      </c>
      <c r="G505" s="18" t="s">
        <v>864</v>
      </c>
      <c r="H505" s="18">
        <f ca="1">COUNTIFS('Tracking Sheet'!$L$5:$L$504,"&lt;41",'Tracking Sheet'!$L$5:$L$504,"&gt;35",'Tracking Sheet'!$AX$5:$AX$504,Calculations!$K$1,'Tracking Sheet'!$AI$5:$AI$504,"Quarter 4")</f>
        <v>0</v>
      </c>
      <c r="I505" s="18" t="str">
        <f t="shared" si="72"/>
        <v>36-40</v>
      </c>
      <c r="J505" s="18" t="e">
        <f t="shared" ca="1" si="73"/>
        <v>#N/A</v>
      </c>
      <c r="L505" s="17" t="s">
        <v>26</v>
      </c>
      <c r="M505" s="18" t="s">
        <v>864</v>
      </c>
      <c r="N505" s="18">
        <f ca="1">COUNTIFS('Tracking Sheet'!$L$5:$L$504,"&lt;41",'Tracking Sheet'!$L$5:$L$504,"&gt;35",'Tracking Sheet'!$AY$5:$AY$504,Calculations!$K$1,'Tracking Sheet'!$AV$5:$AV$504,"Quarter 4")</f>
        <v>0</v>
      </c>
      <c r="O505" s="18" t="str">
        <f t="shared" si="74"/>
        <v>36-40</v>
      </c>
      <c r="P505" s="18" t="e">
        <f t="shared" ca="1" si="75"/>
        <v>#N/A</v>
      </c>
    </row>
    <row r="506" spans="6:16" ht="15.75" customHeight="1">
      <c r="F506" s="17" t="s">
        <v>26</v>
      </c>
      <c r="G506" s="18" t="s">
        <v>865</v>
      </c>
      <c r="H506" s="18">
        <f ca="1">COUNTIFS('Tracking Sheet'!$L$5:$L$504,"&lt;46",'Tracking Sheet'!$L$5:$L$504,"&gt;40",'Tracking Sheet'!$AX$5:$AX$504,Calculations!$K$1,'Tracking Sheet'!$AI$5:$AI$504,"Quarter 4")</f>
        <v>0</v>
      </c>
      <c r="I506" s="18" t="str">
        <f t="shared" si="72"/>
        <v>41-45</v>
      </c>
      <c r="J506" s="18" t="e">
        <f t="shared" ca="1" si="73"/>
        <v>#N/A</v>
      </c>
      <c r="L506" s="17" t="s">
        <v>26</v>
      </c>
      <c r="M506" s="18" t="s">
        <v>865</v>
      </c>
      <c r="N506" s="18">
        <f ca="1">COUNTIFS('Tracking Sheet'!$L$5:$L$504,"&lt;46",'Tracking Sheet'!$L$5:$L$504,"&gt;40",'Tracking Sheet'!$AY$5:$AY$504,Calculations!$K$1,'Tracking Sheet'!$AV$5:$AV$504,"Quarter 4")</f>
        <v>0</v>
      </c>
      <c r="O506" s="18" t="str">
        <f t="shared" si="74"/>
        <v>41-45</v>
      </c>
      <c r="P506" s="18" t="e">
        <f t="shared" ca="1" si="75"/>
        <v>#N/A</v>
      </c>
    </row>
    <row r="507" spans="6:16" ht="15.75" customHeight="1">
      <c r="F507" s="17" t="s">
        <v>26</v>
      </c>
      <c r="G507" s="18" t="s">
        <v>866</v>
      </c>
      <c r="H507" s="18">
        <f ca="1">COUNTIFS('Tracking Sheet'!$L$5:$L$504,"&lt;51",'Tracking Sheet'!$L$5:$L$504,"&gt;45",'Tracking Sheet'!$AX$5:$AX$504,Calculations!$K$1,'Tracking Sheet'!$AI$5:$AI$504,"Quarter 4")</f>
        <v>0</v>
      </c>
      <c r="I507" s="18" t="str">
        <f t="shared" si="72"/>
        <v>46-50</v>
      </c>
      <c r="J507" s="18" t="e">
        <f t="shared" ca="1" si="73"/>
        <v>#N/A</v>
      </c>
      <c r="L507" s="17" t="s">
        <v>26</v>
      </c>
      <c r="M507" s="18" t="s">
        <v>866</v>
      </c>
      <c r="N507" s="18">
        <f ca="1">COUNTIFS('Tracking Sheet'!$L$5:$L$504,"&lt;51",'Tracking Sheet'!$L$5:$L$504,"&gt;45",'Tracking Sheet'!$AY$5:$AY$504,Calculations!$K$1,'Tracking Sheet'!$AV$5:$AV$504,"Quarter 4")</f>
        <v>0</v>
      </c>
      <c r="O507" s="18" t="str">
        <f t="shared" si="74"/>
        <v>46-50</v>
      </c>
      <c r="P507" s="18" t="e">
        <f t="shared" ca="1" si="75"/>
        <v>#N/A</v>
      </c>
    </row>
    <row r="508" spans="6:16" ht="15.75" customHeight="1">
      <c r="F508" s="17" t="s">
        <v>26</v>
      </c>
      <c r="G508" s="18" t="s">
        <v>867</v>
      </c>
      <c r="H508" s="18">
        <f ca="1">COUNTIFS('Tracking Sheet'!$L$5:$L$504,"&lt;56",'Tracking Sheet'!$L$5:$L$504,"&gt;50",'Tracking Sheet'!$AX$5:$AX$504,Calculations!$K$1,'Tracking Sheet'!$AI$5:$AI$504,"Quarter 4")</f>
        <v>0</v>
      </c>
      <c r="I508" s="18" t="str">
        <f t="shared" si="72"/>
        <v>51-55</v>
      </c>
      <c r="J508" s="18" t="e">
        <f t="shared" ca="1" si="73"/>
        <v>#N/A</v>
      </c>
      <c r="L508" s="17" t="s">
        <v>26</v>
      </c>
      <c r="M508" s="18" t="s">
        <v>867</v>
      </c>
      <c r="N508" s="18">
        <f ca="1">COUNTIFS('Tracking Sheet'!$L$5:$L$504,"&lt;56",'Tracking Sheet'!$L$5:$L$504,"&gt;50",'Tracking Sheet'!$AY$5:$AY$504,Calculations!$K$1,'Tracking Sheet'!$AV$5:$AV$504,"Quarter 4")</f>
        <v>0</v>
      </c>
      <c r="O508" s="18" t="str">
        <f t="shared" si="74"/>
        <v>51-55</v>
      </c>
      <c r="P508" s="18" t="e">
        <f t="shared" ca="1" si="75"/>
        <v>#N/A</v>
      </c>
    </row>
    <row r="509" spans="6:16" ht="15.75" customHeight="1">
      <c r="F509" s="17" t="s">
        <v>26</v>
      </c>
      <c r="G509" s="18" t="s">
        <v>868</v>
      </c>
      <c r="H509" s="18">
        <f ca="1">COUNTIFS('Tracking Sheet'!$L$5:$L$504,"&lt;61",'Tracking Sheet'!$L$5:$L$504,"&gt;55",'Tracking Sheet'!$AX$5:$AX$504,Calculations!$K$1,'Tracking Sheet'!$AI$5:$AI$504,"Quarter 4")</f>
        <v>0</v>
      </c>
      <c r="I509" s="18" t="str">
        <f t="shared" si="72"/>
        <v>56-60</v>
      </c>
      <c r="J509" s="18" t="e">
        <f t="shared" ca="1" si="73"/>
        <v>#N/A</v>
      </c>
      <c r="L509" s="17" t="s">
        <v>26</v>
      </c>
      <c r="M509" s="18" t="s">
        <v>868</v>
      </c>
      <c r="N509" s="18">
        <f ca="1">COUNTIFS('Tracking Sheet'!$L$5:$L$504,"&lt;61",'Tracking Sheet'!$L$5:$L$504,"&gt;55",'Tracking Sheet'!$AY$5:$AY$504,Calculations!$K$1,'Tracking Sheet'!$AV$5:$AV$504,"Quarter 4")</f>
        <v>0</v>
      </c>
      <c r="O509" s="18" t="str">
        <f t="shared" si="74"/>
        <v>56-60</v>
      </c>
      <c r="P509" s="18" t="e">
        <f t="shared" ca="1" si="75"/>
        <v>#N/A</v>
      </c>
    </row>
    <row r="510" spans="6:16" ht="15.75" customHeight="1" thickBot="1">
      <c r="F510" s="20" t="s">
        <v>26</v>
      </c>
      <c r="G510" s="22" t="s">
        <v>869</v>
      </c>
      <c r="H510" s="22">
        <f ca="1">COUNTIFS('Tracking Sheet'!$L$5:$L$504,"&lt;66",'Tracking Sheet'!$L$5:$L$504,"&gt;60",'Tracking Sheet'!$AX$5:$AX$504,Calculations!$K$1,'Tracking Sheet'!$AI$5:$AI$504,"Quarter 4")</f>
        <v>0</v>
      </c>
      <c r="I510" s="22" t="str">
        <f t="shared" si="72"/>
        <v>61-65</v>
      </c>
      <c r="J510" s="22" t="e">
        <f t="shared" ca="1" si="73"/>
        <v>#N/A</v>
      </c>
      <c r="L510" s="20" t="s">
        <v>26</v>
      </c>
      <c r="M510" s="22" t="s">
        <v>869</v>
      </c>
      <c r="N510" s="22">
        <f ca="1">COUNTIFS('Tracking Sheet'!$L$5:$L$504,"&lt;66",'Tracking Sheet'!$L$5:$L$504,"&gt;60",'Tracking Sheet'!$AY$5:$AY$504,Calculations!$K$1,'Tracking Sheet'!$AV$5:$AV$504,"Quarter 4")</f>
        <v>0</v>
      </c>
      <c r="O510" s="22" t="str">
        <f t="shared" si="74"/>
        <v>61-65</v>
      </c>
      <c r="P510" s="22" t="e">
        <f t="shared" ca="1" si="75"/>
        <v>#N/A</v>
      </c>
    </row>
    <row r="511" spans="6:16" ht="15.75" customHeight="1" thickTop="1"/>
    <row r="512" spans="6:16"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About AIHR</vt:lpstr>
      <vt:lpstr>Instructions</vt:lpstr>
      <vt:lpstr>Headcount Dashboard</vt:lpstr>
      <vt:lpstr>Tracking Sheet</vt:lpstr>
      <vt:lpstr>Demographic Descriptions</vt:lpstr>
      <vt:lpstr>Calculations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daiana.vaquero.vega@aihr.com</dc:creator>
  <cp:lastModifiedBy>Microsoft Office User</cp:lastModifiedBy>
  <dcterms:created xsi:type="dcterms:W3CDTF">2022-08-23T08:42:21Z</dcterms:created>
  <dcterms:modified xsi:type="dcterms:W3CDTF">2025-05-09T12:37:21Z</dcterms:modified>
</cp:coreProperties>
</file>